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silkeborg-my.sharepoint.com/personal/dr18463_silkeborg_dk/Documents/Skrivebord/"/>
    </mc:Choice>
  </mc:AlternateContent>
  <xr:revisionPtr revIDLastSave="0" documentId="8_{92316737-6903-4090-AE89-360DA4F4CDD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Vandgennemstrømning" sheetId="1" r:id="rId1"/>
    <sheet name="Søer" sheetId="4" r:id="rId2"/>
    <sheet name="Biomassehøst" sheetId="5" r:id="rId3"/>
    <sheet name="DMI" sheetId="3" r:id="rId4"/>
    <sheet name="Rettelser" sheetId="2" r:id="rId5"/>
  </sheets>
  <definedNames>
    <definedName name="areal">Vandgennemstrømning!$G$10</definedName>
    <definedName name="BFI">Vandgennemstrømning!$G$33</definedName>
    <definedName name="Fe">Vandgennemstrømning!$N$136</definedName>
    <definedName name="Fosfordeponi">Vandgennemstrømning!$X$106</definedName>
    <definedName name="georeg_DO">Vandgennemstrømning!$M$31</definedName>
    <definedName name="georeg_VO">Vandgennemstrømning!$G$32</definedName>
    <definedName name="input1">Vandgennemstrømning!$C$41:$R$41</definedName>
    <definedName name="j9_DO">Vandgennemstrømning!$M$30</definedName>
    <definedName name="j9_VO">Vandgennemstrømning!$G$31</definedName>
    <definedName name="jL_DO">Vandgennemstrømning!$M$29</definedName>
    <definedName name="jL_VO">Vandgennemstrømning!$G$29</definedName>
    <definedName name="jS_VO">Vandgennemstrømning!$G$30</definedName>
    <definedName name="nedbor_DO">Vandgennemstrømning!$M$26</definedName>
    <definedName name="nedbor_VO">Vandgennemstrømning!$G$26</definedName>
    <definedName name="netto_nedbor_DO">Vandgennemstrømning!$M$28</definedName>
    <definedName name="oplands_areal">Vandgennemstrømning!$G$11</definedName>
    <definedName name="P">Vandgennemstrømning!$N$135</definedName>
    <definedName name="P_deponering">Vandgennemstrømning!$X$106:$X$107</definedName>
    <definedName name="Pdeponi">Vandgennemstrømning!$X$106</definedName>
    <definedName name="Ppulje">Vandgennemstrømning!$Y$68</definedName>
    <definedName name="Ptab">Vandgennemstrømning!$T$68</definedName>
    <definedName name="PtabSø">Vandgennemstrømning!$X$113</definedName>
    <definedName name="Q_OF">Vandgennemstrømning!$G$34</definedName>
    <definedName name="Qovf">Vandgennemstrømning!$M$34</definedName>
    <definedName name="samlet_oplands_areal">Vandgennemstrømning!$G$12</definedName>
    <definedName name="SumAreal">Vandgennemstrømning!$D$65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68" i="1" l="1"/>
  <c r="T68" i="1"/>
  <c r="D65" i="1"/>
  <c r="Y64" i="1"/>
  <c r="Y63" i="1"/>
  <c r="Y62" i="1"/>
  <c r="Y61" i="1"/>
  <c r="AA61" i="1" s="1"/>
  <c r="Y60" i="1"/>
  <c r="Y59" i="1"/>
  <c r="AA59" i="1" s="1"/>
  <c r="AE59" i="1" s="1"/>
  <c r="AF59" i="1" s="1"/>
  <c r="Y58" i="1"/>
  <c r="Y57" i="1"/>
  <c r="AA57" i="1" s="1"/>
  <c r="Y56" i="1"/>
  <c r="Y55" i="1"/>
  <c r="AA55" i="1" s="1"/>
  <c r="Y54" i="1"/>
  <c r="Y53" i="1"/>
  <c r="AA53" i="1" s="1"/>
  <c r="Y52" i="1"/>
  <c r="Y51" i="1"/>
  <c r="AA51" i="1" s="1"/>
  <c r="Y50" i="1"/>
  <c r="AA50" i="1" s="1"/>
  <c r="Y49" i="1"/>
  <c r="AA49" i="1" s="1"/>
  <c r="Y48" i="1"/>
  <c r="Y47" i="1"/>
  <c r="Y46" i="1"/>
  <c r="Y45" i="1"/>
  <c r="Y44" i="1"/>
  <c r="Y43" i="1"/>
  <c r="AA43" i="1" s="1"/>
  <c r="Y42" i="1"/>
  <c r="Y41" i="1"/>
  <c r="AE64" i="1"/>
  <c r="AF64" i="1" s="1"/>
  <c r="AD64" i="1"/>
  <c r="AA64" i="1"/>
  <c r="T64" i="1"/>
  <c r="AK64" i="1" s="1"/>
  <c r="P64" i="1"/>
  <c r="Q64" i="1" s="1"/>
  <c r="J64" i="1"/>
  <c r="AE63" i="1"/>
  <c r="AF63" i="1" s="1"/>
  <c r="AD63" i="1"/>
  <c r="AA63" i="1"/>
  <c r="T63" i="1"/>
  <c r="AK63" i="1" s="1"/>
  <c r="P63" i="1"/>
  <c r="J63" i="1"/>
  <c r="AE62" i="1"/>
  <c r="AF62" i="1" s="1"/>
  <c r="AD62" i="1"/>
  <c r="AA62" i="1"/>
  <c r="T62" i="1"/>
  <c r="AK62" i="1" s="1"/>
  <c r="P62" i="1"/>
  <c r="Q62" i="1" s="1"/>
  <c r="J62" i="1"/>
  <c r="AE61" i="1"/>
  <c r="AF61" i="1" s="1"/>
  <c r="AD61" i="1"/>
  <c r="T61" i="1"/>
  <c r="AK61" i="1" s="1"/>
  <c r="P61" i="1"/>
  <c r="Q61" i="1" s="1"/>
  <c r="J61" i="1"/>
  <c r="AE60" i="1"/>
  <c r="AF60" i="1" s="1"/>
  <c r="AD60" i="1"/>
  <c r="AA60" i="1"/>
  <c r="T60" i="1"/>
  <c r="AK60" i="1" s="1"/>
  <c r="P60" i="1"/>
  <c r="J60" i="1"/>
  <c r="AD59" i="1"/>
  <c r="T59" i="1"/>
  <c r="AK59" i="1" s="1"/>
  <c r="P59" i="1"/>
  <c r="Q59" i="1" s="1"/>
  <c r="J59" i="1"/>
  <c r="AE58" i="1"/>
  <c r="AF58" i="1" s="1"/>
  <c r="AD58" i="1"/>
  <c r="AA58" i="1"/>
  <c r="T58" i="1"/>
  <c r="AK58" i="1" s="1"/>
  <c r="P58" i="1"/>
  <c r="J58" i="1"/>
  <c r="AE57" i="1"/>
  <c r="AF57" i="1" s="1"/>
  <c r="AD57" i="1"/>
  <c r="T57" i="1"/>
  <c r="AK57" i="1" s="1"/>
  <c r="P57" i="1"/>
  <c r="J57" i="1"/>
  <c r="AE56" i="1"/>
  <c r="AF56" i="1" s="1"/>
  <c r="AD56" i="1"/>
  <c r="AA56" i="1"/>
  <c r="T56" i="1"/>
  <c r="AK56" i="1" s="1"/>
  <c r="P56" i="1"/>
  <c r="J56" i="1"/>
  <c r="AE55" i="1"/>
  <c r="AF55" i="1" s="1"/>
  <c r="AD55" i="1"/>
  <c r="T55" i="1"/>
  <c r="AK55" i="1" s="1"/>
  <c r="P55" i="1"/>
  <c r="J55" i="1"/>
  <c r="AE54" i="1"/>
  <c r="AF54" i="1" s="1"/>
  <c r="AD54" i="1"/>
  <c r="AA54" i="1"/>
  <c r="T54" i="1"/>
  <c r="AK54" i="1" s="1"/>
  <c r="P54" i="1"/>
  <c r="J54" i="1"/>
  <c r="AE53" i="1"/>
  <c r="AF53" i="1" s="1"/>
  <c r="AD53" i="1"/>
  <c r="T53" i="1"/>
  <c r="AK53" i="1" s="1"/>
  <c r="P53" i="1"/>
  <c r="Q53" i="1" s="1"/>
  <c r="J53" i="1"/>
  <c r="AE52" i="1"/>
  <c r="AF52" i="1" s="1"/>
  <c r="AD52" i="1"/>
  <c r="AA52" i="1"/>
  <c r="T52" i="1"/>
  <c r="AK52" i="1" s="1"/>
  <c r="Q52" i="1"/>
  <c r="P52" i="1"/>
  <c r="J52" i="1"/>
  <c r="AE51" i="1"/>
  <c r="AF51" i="1" s="1"/>
  <c r="AD51" i="1"/>
  <c r="T51" i="1"/>
  <c r="AK51" i="1" s="1"/>
  <c r="P51" i="1"/>
  <c r="J51" i="1"/>
  <c r="AE50" i="1"/>
  <c r="AF50" i="1" s="1"/>
  <c r="AD50" i="1"/>
  <c r="T50" i="1"/>
  <c r="AK50" i="1" s="1"/>
  <c r="P50" i="1"/>
  <c r="J50" i="1"/>
  <c r="AE49" i="1"/>
  <c r="AF49" i="1" s="1"/>
  <c r="AD49" i="1"/>
  <c r="T49" i="1"/>
  <c r="AK49" i="1" s="1"/>
  <c r="P49" i="1"/>
  <c r="J49" i="1"/>
  <c r="AE48" i="1"/>
  <c r="AF48" i="1" s="1"/>
  <c r="AD48" i="1"/>
  <c r="AA48" i="1"/>
  <c r="T48" i="1"/>
  <c r="AK48" i="1" s="1"/>
  <c r="P48" i="1"/>
  <c r="Q48" i="1" s="1"/>
  <c r="J48" i="1"/>
  <c r="AE47" i="1"/>
  <c r="AF47" i="1" s="1"/>
  <c r="AD47" i="1"/>
  <c r="AA47" i="1"/>
  <c r="T47" i="1"/>
  <c r="AK47" i="1" s="1"/>
  <c r="P47" i="1"/>
  <c r="Q47" i="1" s="1"/>
  <c r="J47" i="1"/>
  <c r="AE46" i="1"/>
  <c r="AF46" i="1" s="1"/>
  <c r="AD46" i="1"/>
  <c r="AA46" i="1"/>
  <c r="T46" i="1"/>
  <c r="AK46" i="1" s="1"/>
  <c r="P46" i="1"/>
  <c r="J46" i="1"/>
  <c r="AE45" i="1"/>
  <c r="AF45" i="1" s="1"/>
  <c r="AD45" i="1"/>
  <c r="AA45" i="1"/>
  <c r="T45" i="1"/>
  <c r="AK45" i="1" s="1"/>
  <c r="P45" i="1"/>
  <c r="J45" i="1"/>
  <c r="AE44" i="1"/>
  <c r="AF44" i="1" s="1"/>
  <c r="AD44" i="1"/>
  <c r="AA44" i="1"/>
  <c r="T44" i="1"/>
  <c r="AK44" i="1" s="1"/>
  <c r="P44" i="1"/>
  <c r="Q44" i="1" s="1"/>
  <c r="J44" i="1"/>
  <c r="AE43" i="1"/>
  <c r="AF43" i="1" s="1"/>
  <c r="AD43" i="1"/>
  <c r="T43" i="1"/>
  <c r="AK43" i="1" s="1"/>
  <c r="P43" i="1"/>
  <c r="J43" i="1"/>
  <c r="D5" i="4"/>
  <c r="Q55" i="1" l="1"/>
  <c r="R55" i="1" s="1"/>
  <c r="Q54" i="1"/>
  <c r="R54" i="1" s="1"/>
  <c r="Q50" i="1"/>
  <c r="R50" i="1" s="1"/>
  <c r="R53" i="1"/>
  <c r="Q58" i="1"/>
  <c r="R58" i="1" s="1"/>
  <c r="Q43" i="1"/>
  <c r="R43" i="1" s="1"/>
  <c r="R48" i="1"/>
  <c r="Q63" i="1"/>
  <c r="R63" i="1" s="1"/>
  <c r="R61" i="1"/>
  <c r="Q46" i="1"/>
  <c r="R46" i="1" s="1"/>
  <c r="R44" i="1"/>
  <c r="R52" i="1"/>
  <c r="R64" i="1"/>
  <c r="R62" i="1"/>
  <c r="Q49" i="1"/>
  <c r="R49" i="1" s="1"/>
  <c r="R60" i="1"/>
  <c r="Q51" i="1"/>
  <c r="R51" i="1" s="1"/>
  <c r="Q56" i="1"/>
  <c r="R56" i="1" s="1"/>
  <c r="R47" i="1"/>
  <c r="R45" i="1"/>
  <c r="Q57" i="1"/>
  <c r="R57" i="1" s="1"/>
  <c r="Q45" i="1"/>
  <c r="Q60" i="1"/>
  <c r="R59" i="1"/>
  <c r="AG64" i="1"/>
  <c r="AH64" i="1" s="1"/>
  <c r="AI64" i="1" s="1"/>
  <c r="AG63" i="1"/>
  <c r="AH63" i="1" s="1"/>
  <c r="AI63" i="1" s="1"/>
  <c r="AG62" i="1"/>
  <c r="AH62" i="1" s="1"/>
  <c r="AI62" i="1" s="1"/>
  <c r="AG61" i="1"/>
  <c r="AH61" i="1" s="1"/>
  <c r="AI61" i="1" s="1"/>
  <c r="AJ61" i="1" s="1"/>
  <c r="AG60" i="1"/>
  <c r="AH60" i="1" s="1"/>
  <c r="AI60" i="1" s="1"/>
  <c r="AG59" i="1"/>
  <c r="AH59" i="1" s="1"/>
  <c r="AI59" i="1" s="1"/>
  <c r="AG58" i="1"/>
  <c r="AH58" i="1" s="1"/>
  <c r="AI58" i="1" s="1"/>
  <c r="AG57" i="1"/>
  <c r="AH57" i="1" s="1"/>
  <c r="AI57" i="1" s="1"/>
  <c r="AG56" i="1"/>
  <c r="AH56" i="1" s="1"/>
  <c r="AI56" i="1" s="1"/>
  <c r="AG55" i="1"/>
  <c r="AH55" i="1" s="1"/>
  <c r="AI55" i="1" s="1"/>
  <c r="AG54" i="1"/>
  <c r="AH54" i="1" s="1"/>
  <c r="AI54" i="1" s="1"/>
  <c r="AG53" i="1"/>
  <c r="AH53" i="1" s="1"/>
  <c r="AI53" i="1" s="1"/>
  <c r="AJ53" i="1" s="1"/>
  <c r="AG52" i="1"/>
  <c r="AH52" i="1" s="1"/>
  <c r="AI52" i="1" s="1"/>
  <c r="AJ52" i="1" s="1"/>
  <c r="AG51" i="1"/>
  <c r="AH51" i="1" s="1"/>
  <c r="AI51" i="1" s="1"/>
  <c r="AG50" i="1"/>
  <c r="AH50" i="1" s="1"/>
  <c r="AI50" i="1" s="1"/>
  <c r="AG49" i="1"/>
  <c r="AH49" i="1" s="1"/>
  <c r="AI49" i="1" s="1"/>
  <c r="AG48" i="1"/>
  <c r="AH48" i="1" s="1"/>
  <c r="AI48" i="1" s="1"/>
  <c r="AG47" i="1"/>
  <c r="AH47" i="1" s="1"/>
  <c r="AI47" i="1" s="1"/>
  <c r="AG46" i="1"/>
  <c r="AH46" i="1" s="1"/>
  <c r="AI46" i="1" s="1"/>
  <c r="AG45" i="1"/>
  <c r="AH45" i="1" s="1"/>
  <c r="AI45" i="1" s="1"/>
  <c r="AG44" i="1"/>
  <c r="AH44" i="1" s="1"/>
  <c r="AI44" i="1" s="1"/>
  <c r="AJ44" i="1" s="1"/>
  <c r="AG43" i="1"/>
  <c r="AH43" i="1" s="1"/>
  <c r="AI43" i="1" s="1"/>
  <c r="G12" i="1"/>
  <c r="AJ55" i="1" l="1"/>
  <c r="AJ56" i="1"/>
  <c r="AJ58" i="1"/>
  <c r="AJ43" i="1"/>
  <c r="AJ62" i="1"/>
  <c r="AJ54" i="1"/>
  <c r="AJ57" i="1"/>
  <c r="AJ60" i="1"/>
  <c r="AJ45" i="1"/>
  <c r="AJ46" i="1"/>
  <c r="AJ47" i="1"/>
  <c r="AJ63" i="1"/>
  <c r="AJ48" i="1"/>
  <c r="AJ64" i="1"/>
  <c r="AJ49" i="1"/>
  <c r="AJ50" i="1"/>
  <c r="AJ51" i="1"/>
  <c r="AJ59" i="1"/>
  <c r="N27" i="3"/>
  <c r="O27" i="3" s="1"/>
  <c r="T27" i="3" s="1"/>
  <c r="N26" i="3"/>
  <c r="O26" i="3" s="1"/>
  <c r="T26" i="3" s="1"/>
  <c r="N25" i="3"/>
  <c r="O25" i="3" s="1"/>
  <c r="W25" i="3" s="1"/>
  <c r="N24" i="3"/>
  <c r="O24" i="3" s="1"/>
  <c r="P24" i="3" s="1"/>
  <c r="N23" i="3"/>
  <c r="O23" i="3" s="1"/>
  <c r="R23" i="3" s="1"/>
  <c r="N22" i="3"/>
  <c r="O22" i="3" s="1"/>
  <c r="S22" i="3" s="1"/>
  <c r="N21" i="3"/>
  <c r="O21" i="3" s="1"/>
  <c r="T21" i="3" s="1"/>
  <c r="N20" i="3"/>
  <c r="O20" i="3" s="1"/>
  <c r="U20" i="3" s="1"/>
  <c r="N19" i="3"/>
  <c r="O19" i="3" s="1"/>
  <c r="V19" i="3" s="1"/>
  <c r="N18" i="3"/>
  <c r="O18" i="3" s="1"/>
  <c r="X18" i="3" s="1"/>
  <c r="N17" i="3"/>
  <c r="O17" i="3" s="1"/>
  <c r="R17" i="3" s="1"/>
  <c r="N16" i="3"/>
  <c r="O16" i="3" s="1"/>
  <c r="Q16" i="3" s="1"/>
  <c r="N15" i="3"/>
  <c r="O15" i="3" s="1"/>
  <c r="R15" i="3" s="1"/>
  <c r="N14" i="3"/>
  <c r="O14" i="3" s="1"/>
  <c r="P14" i="3" s="1"/>
  <c r="N13" i="3"/>
  <c r="O13" i="3" s="1"/>
  <c r="X13" i="3" s="1"/>
  <c r="N12" i="3"/>
  <c r="O12" i="3" s="1"/>
  <c r="S12" i="3" s="1"/>
  <c r="N11" i="3"/>
  <c r="O11" i="3" s="1"/>
  <c r="S11" i="3" s="1"/>
  <c r="N10" i="3"/>
  <c r="O10" i="3" s="1"/>
  <c r="T10" i="3" s="1"/>
  <c r="N9" i="3"/>
  <c r="O9" i="3" s="1"/>
  <c r="U9" i="3" s="1"/>
  <c r="N8" i="3"/>
  <c r="O8" i="3" s="1"/>
  <c r="V8" i="3" s="1"/>
  <c r="N7" i="3"/>
  <c r="O7" i="3" s="1"/>
  <c r="U7" i="3" s="1"/>
  <c r="N6" i="3"/>
  <c r="O6" i="3" s="1"/>
  <c r="R6" i="3" s="1"/>
  <c r="N5" i="3"/>
  <c r="O5" i="3" s="1"/>
  <c r="N4" i="3"/>
  <c r="O4" i="3" s="1"/>
  <c r="T4" i="3" s="1"/>
  <c r="R13" i="3" l="1"/>
  <c r="X14" i="3"/>
  <c r="R14" i="3"/>
  <c r="S7" i="3"/>
  <c r="R7" i="3"/>
  <c r="Q7" i="3"/>
  <c r="P7" i="3"/>
  <c r="X7" i="3"/>
  <c r="T7" i="3"/>
  <c r="W7" i="3"/>
  <c r="V7" i="3"/>
  <c r="W14" i="3"/>
  <c r="R25" i="3"/>
  <c r="P23" i="3"/>
  <c r="V25" i="3"/>
  <c r="T25" i="3"/>
  <c r="Q25" i="3"/>
  <c r="Q23" i="3"/>
  <c r="P25" i="3"/>
  <c r="X25" i="3"/>
  <c r="U25" i="3"/>
  <c r="S25" i="3"/>
  <c r="S14" i="3"/>
  <c r="S27" i="3"/>
  <c r="P27" i="3"/>
  <c r="R27" i="3"/>
  <c r="X27" i="3"/>
  <c r="Q27" i="3"/>
  <c r="W27" i="3"/>
  <c r="V27" i="3"/>
  <c r="U27" i="3"/>
  <c r="S26" i="3"/>
  <c r="Q26" i="3"/>
  <c r="P26" i="3"/>
  <c r="R26" i="3"/>
  <c r="X26" i="3"/>
  <c r="W26" i="3"/>
  <c r="V26" i="3"/>
  <c r="U26" i="3"/>
  <c r="X24" i="3"/>
  <c r="W24" i="3"/>
  <c r="U24" i="3"/>
  <c r="T24" i="3"/>
  <c r="V24" i="3"/>
  <c r="S24" i="3"/>
  <c r="R24" i="3"/>
  <c r="Q24" i="3"/>
  <c r="X23" i="3"/>
  <c r="W23" i="3"/>
  <c r="S23" i="3"/>
  <c r="V23" i="3"/>
  <c r="U23" i="3"/>
  <c r="T23" i="3"/>
  <c r="Q22" i="3"/>
  <c r="W22" i="3"/>
  <c r="R22" i="3"/>
  <c r="P22" i="3"/>
  <c r="X22" i="3"/>
  <c r="V22" i="3"/>
  <c r="U22" i="3"/>
  <c r="T22" i="3"/>
  <c r="R21" i="3"/>
  <c r="S21" i="3"/>
  <c r="Q21" i="3"/>
  <c r="V21" i="3"/>
  <c r="U21" i="3"/>
  <c r="P21" i="3"/>
  <c r="X21" i="3"/>
  <c r="W21" i="3"/>
  <c r="S20" i="3"/>
  <c r="P20" i="3"/>
  <c r="T20" i="3"/>
  <c r="R20" i="3"/>
  <c r="Q20" i="3"/>
  <c r="W20" i="3"/>
  <c r="X20" i="3"/>
  <c r="V20" i="3"/>
  <c r="T19" i="3"/>
  <c r="U19" i="3"/>
  <c r="P19" i="3"/>
  <c r="S19" i="3"/>
  <c r="X19" i="3"/>
  <c r="W19" i="3"/>
  <c r="R19" i="3"/>
  <c r="Q19" i="3"/>
  <c r="W18" i="3"/>
  <c r="R18" i="3"/>
  <c r="S18" i="3"/>
  <c r="V18" i="3"/>
  <c r="U18" i="3"/>
  <c r="Q18" i="3"/>
  <c r="T18" i="3"/>
  <c r="P18" i="3"/>
  <c r="S17" i="3"/>
  <c r="P17" i="3"/>
  <c r="X17" i="3"/>
  <c r="W17" i="3"/>
  <c r="U17" i="3"/>
  <c r="Q17" i="3"/>
  <c r="V17" i="3"/>
  <c r="T17" i="3"/>
  <c r="V16" i="3"/>
  <c r="T16" i="3"/>
  <c r="R16" i="3"/>
  <c r="W16" i="3"/>
  <c r="P16" i="3"/>
  <c r="X16" i="3"/>
  <c r="U16" i="3"/>
  <c r="S16" i="3"/>
  <c r="T15" i="3"/>
  <c r="X15" i="3"/>
  <c r="W15" i="3"/>
  <c r="S15" i="3"/>
  <c r="V15" i="3"/>
  <c r="P15" i="3"/>
  <c r="Q15" i="3"/>
  <c r="U15" i="3"/>
  <c r="U14" i="3"/>
  <c r="V14" i="3"/>
  <c r="T14" i="3"/>
  <c r="Q14" i="3"/>
  <c r="Q13" i="3"/>
  <c r="P13" i="3"/>
  <c r="W13" i="3"/>
  <c r="V13" i="3"/>
  <c r="U13" i="3"/>
  <c r="T13" i="3"/>
  <c r="S13" i="3"/>
  <c r="R12" i="3"/>
  <c r="P12" i="3"/>
  <c r="X12" i="3"/>
  <c r="W12" i="3"/>
  <c r="Q12" i="3"/>
  <c r="V12" i="3"/>
  <c r="U12" i="3"/>
  <c r="T12" i="3"/>
  <c r="Q11" i="3"/>
  <c r="R11" i="3"/>
  <c r="P11" i="3"/>
  <c r="T11" i="3"/>
  <c r="X11" i="3"/>
  <c r="W11" i="3"/>
  <c r="V11" i="3"/>
  <c r="U11" i="3"/>
  <c r="R10" i="3"/>
  <c r="S10" i="3"/>
  <c r="P10" i="3"/>
  <c r="V10" i="3"/>
  <c r="U10" i="3"/>
  <c r="Q10" i="3"/>
  <c r="X10" i="3"/>
  <c r="W10" i="3"/>
  <c r="T9" i="3"/>
  <c r="R9" i="3"/>
  <c r="P9" i="3"/>
  <c r="X9" i="3"/>
  <c r="S9" i="3"/>
  <c r="Q9" i="3"/>
  <c r="W9" i="3"/>
  <c r="V9" i="3"/>
  <c r="T8" i="3"/>
  <c r="S8" i="3"/>
  <c r="P8" i="3"/>
  <c r="U8" i="3"/>
  <c r="R8" i="3"/>
  <c r="Q8" i="3"/>
  <c r="X8" i="3"/>
  <c r="W8" i="3"/>
  <c r="Q6" i="3"/>
  <c r="W6" i="3"/>
  <c r="V6" i="3"/>
  <c r="P6" i="3"/>
  <c r="X6" i="3"/>
  <c r="U6" i="3"/>
  <c r="T6" i="3"/>
  <c r="S6" i="3"/>
  <c r="U4" i="3"/>
  <c r="V4" i="3"/>
  <c r="W4" i="3"/>
  <c r="X4" i="3"/>
  <c r="P4" i="3"/>
  <c r="S4" i="3"/>
  <c r="Q4" i="3"/>
  <c r="R4" i="3"/>
  <c r="T42" i="1"/>
  <c r="AK42" i="1" s="1"/>
  <c r="T41" i="1"/>
  <c r="AK41" i="1" s="1"/>
  <c r="X113" i="1" s="1"/>
  <c r="X76" i="1" l="1"/>
  <c r="Z85" i="1"/>
  <c r="D7" i="5" l="1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6" i="5"/>
  <c r="X91" i="1"/>
  <c r="AA12" i="3" l="1"/>
  <c r="AB12" i="3" s="1"/>
  <c r="AA11" i="3"/>
  <c r="AB11" i="3" s="1"/>
  <c r="AA10" i="3"/>
  <c r="AB10" i="3" s="1"/>
  <c r="AA9" i="3"/>
  <c r="AB9" i="3" s="1"/>
  <c r="AA8" i="3"/>
  <c r="AB8" i="3" s="1"/>
  <c r="AA7" i="3"/>
  <c r="AB7" i="3" s="1"/>
  <c r="AA6" i="3"/>
  <c r="AB6" i="3" s="1"/>
  <c r="AA5" i="3"/>
  <c r="AB5" i="3" s="1"/>
  <c r="AA4" i="3"/>
  <c r="AB4" i="3" s="1"/>
  <c r="AC8" i="3" l="1"/>
  <c r="AG8" i="3"/>
  <c r="AD8" i="3"/>
  <c r="AE8" i="3"/>
  <c r="AF8" i="3"/>
  <c r="AC9" i="3"/>
  <c r="AG9" i="3"/>
  <c r="AD9" i="3"/>
  <c r="AF9" i="3"/>
  <c r="AE9" i="3"/>
  <c r="AF7" i="3"/>
  <c r="AE7" i="3"/>
  <c r="AD7" i="3"/>
  <c r="AG7" i="3"/>
  <c r="AC7" i="3"/>
  <c r="AE10" i="3"/>
  <c r="AC10" i="3"/>
  <c r="AD10" i="3"/>
  <c r="AG10" i="3"/>
  <c r="AF10" i="3"/>
  <c r="AD11" i="3"/>
  <c r="AG11" i="3"/>
  <c r="AF11" i="3"/>
  <c r="AC11" i="3"/>
  <c r="AE11" i="3"/>
  <c r="AE4" i="3"/>
  <c r="AD4" i="3"/>
  <c r="AC4" i="3"/>
  <c r="AG4" i="3"/>
  <c r="AF4" i="3"/>
  <c r="AC12" i="3"/>
  <c r="AD12" i="3"/>
  <c r="AG12" i="3"/>
  <c r="AF12" i="3"/>
  <c r="AE12" i="3"/>
  <c r="AC6" i="3"/>
  <c r="AD6" i="3"/>
  <c r="AE6" i="3"/>
  <c r="AF6" i="3"/>
  <c r="AG6" i="3"/>
  <c r="AC5" i="3"/>
  <c r="AD5" i="3"/>
  <c r="AE5" i="3"/>
  <c r="AF5" i="3"/>
  <c r="AG5" i="3"/>
  <c r="Q5" i="3"/>
  <c r="Q29" i="3" s="1" a="1"/>
  <c r="Q29" i="3" s="1"/>
  <c r="G27" i="1" s="1"/>
  <c r="R5" i="3"/>
  <c r="R29" i="3" s="1" a="1"/>
  <c r="R29" i="3" s="1"/>
  <c r="G29" i="1" s="1"/>
  <c r="T5" i="3"/>
  <c r="T29" i="3" s="1" a="1"/>
  <c r="T29" i="3" s="1"/>
  <c r="G31" i="1" s="1"/>
  <c r="U5" i="3"/>
  <c r="U29" i="3" s="1" a="1"/>
  <c r="U29" i="3" s="1"/>
  <c r="G32" i="1" s="1"/>
  <c r="S5" i="3"/>
  <c r="S29" i="3" s="1" a="1"/>
  <c r="S29" i="3" s="1"/>
  <c r="G30" i="1" s="1"/>
  <c r="V5" i="3"/>
  <c r="V29" i="3" s="1" a="1"/>
  <c r="V29" i="3" s="1"/>
  <c r="X101" i="1" s="1"/>
  <c r="W5" i="3"/>
  <c r="W29" i="3" s="1" a="1"/>
  <c r="W29" i="3" s="1"/>
  <c r="X104" i="1" s="1"/>
  <c r="X5" i="3"/>
  <c r="X29" i="3" s="1" a="1"/>
  <c r="X29" i="3" s="1"/>
  <c r="X102" i="1" s="1"/>
  <c r="P5" i="3"/>
  <c r="P29" i="3" s="1" a="1"/>
  <c r="P29" i="3" s="1"/>
  <c r="G26" i="1" s="1"/>
  <c r="G28" i="1" l="1"/>
  <c r="G33" i="1"/>
  <c r="AE14" i="3" a="1"/>
  <c r="AE14" i="3" s="1"/>
  <c r="AC14" i="3" a="1"/>
  <c r="AC14" i="3" s="1"/>
  <c r="M26" i="1" s="1"/>
  <c r="AD14" i="3" a="1"/>
  <c r="AD14" i="3" s="1"/>
  <c r="M27" i="1" s="1"/>
  <c r="AG14" i="3" a="1"/>
  <c r="AG14" i="3" s="1"/>
  <c r="M31" i="1" s="1"/>
  <c r="M32" i="1" s="1"/>
  <c r="AF14" i="3" a="1"/>
  <c r="AF14" i="3" s="1"/>
  <c r="M34" i="1" l="1"/>
  <c r="G34" i="1"/>
  <c r="M28" i="1"/>
  <c r="X99" i="1"/>
  <c r="Z90" i="1"/>
  <c r="AD42" i="1"/>
  <c r="AA42" i="1"/>
  <c r="AE42" i="1" s="1"/>
  <c r="P42" i="1"/>
  <c r="AD41" i="1"/>
  <c r="AA41" i="1"/>
  <c r="AE41" i="1" s="1"/>
  <c r="AF41" i="1" s="1"/>
  <c r="AG41" i="1" s="1"/>
  <c r="P41" i="1"/>
  <c r="AF42" i="1" l="1"/>
  <c r="AG42" i="1" s="1"/>
  <c r="AH41" i="1"/>
  <c r="AI41" i="1" s="1"/>
  <c r="J41" i="1"/>
  <c r="Q42" i="1"/>
  <c r="Q41" i="1"/>
  <c r="X100" i="1"/>
  <c r="AH42" i="1" l="1"/>
  <c r="AI42" i="1" s="1"/>
  <c r="J42" i="1"/>
  <c r="R42" i="1" s="1"/>
  <c r="R41" i="1"/>
  <c r="X105" i="1"/>
  <c r="X108" i="1" s="1"/>
  <c r="X106" i="1" s="1"/>
  <c r="X107" i="1" s="1"/>
  <c r="AJ42" i="1" l="1"/>
  <c r="AG65" i="1"/>
  <c r="X109" i="1"/>
  <c r="AJ41" i="1" l="1"/>
  <c r="D9" i="4" l="1"/>
  <c r="D10" i="4"/>
  <c r="D26" i="4"/>
  <c r="D42" i="4"/>
  <c r="D58" i="4"/>
  <c r="D74" i="4"/>
  <c r="D90" i="4"/>
  <c r="D106" i="4"/>
  <c r="D122" i="4"/>
  <c r="D138" i="4"/>
  <c r="D154" i="4"/>
  <c r="D170" i="4"/>
  <c r="D186" i="4"/>
  <c r="D202" i="4"/>
  <c r="D130" i="4"/>
  <c r="D181" i="4"/>
  <c r="D167" i="4"/>
  <c r="D200" i="4"/>
  <c r="D169" i="4"/>
  <c r="D11" i="4"/>
  <c r="D27" i="4"/>
  <c r="D43" i="4"/>
  <c r="D59" i="4"/>
  <c r="D75" i="4"/>
  <c r="D91" i="4"/>
  <c r="D107" i="4"/>
  <c r="D123" i="4"/>
  <c r="D139" i="4"/>
  <c r="D155" i="4"/>
  <c r="D171" i="4"/>
  <c r="D187" i="4"/>
  <c r="D203" i="4"/>
  <c r="D114" i="4"/>
  <c r="D197" i="4"/>
  <c r="D199" i="4"/>
  <c r="D41" i="4"/>
  <c r="D12" i="4"/>
  <c r="D28" i="4"/>
  <c r="D44" i="4"/>
  <c r="D60" i="4"/>
  <c r="D76" i="4"/>
  <c r="D92" i="4"/>
  <c r="D108" i="4"/>
  <c r="D124" i="4"/>
  <c r="D140" i="4"/>
  <c r="D156" i="4"/>
  <c r="D172" i="4"/>
  <c r="D188" i="4"/>
  <c r="D204" i="4"/>
  <c r="D146" i="4"/>
  <c r="D180" i="4"/>
  <c r="D182" i="4"/>
  <c r="D152" i="4"/>
  <c r="D201" i="4"/>
  <c r="D13" i="4"/>
  <c r="D29" i="4"/>
  <c r="D45" i="4"/>
  <c r="D61" i="4"/>
  <c r="D77" i="4"/>
  <c r="D93" i="4"/>
  <c r="D109" i="4"/>
  <c r="D125" i="4"/>
  <c r="D141" i="4"/>
  <c r="D157" i="4"/>
  <c r="D173" i="4"/>
  <c r="D189" i="4"/>
  <c r="D205" i="4"/>
  <c r="D98" i="4"/>
  <c r="D14" i="4"/>
  <c r="D30" i="4"/>
  <c r="D46" i="4"/>
  <c r="D62" i="4"/>
  <c r="D78" i="4"/>
  <c r="D94" i="4"/>
  <c r="D110" i="4"/>
  <c r="D126" i="4"/>
  <c r="D142" i="4"/>
  <c r="D158" i="4"/>
  <c r="D174" i="4"/>
  <c r="D190" i="4"/>
  <c r="D206" i="4"/>
  <c r="D82" i="4"/>
  <c r="D166" i="4"/>
  <c r="D136" i="4"/>
  <c r="D121" i="4"/>
  <c r="D15" i="4"/>
  <c r="D31" i="4"/>
  <c r="D47" i="4"/>
  <c r="D63" i="4"/>
  <c r="D79" i="4"/>
  <c r="D95" i="4"/>
  <c r="D111" i="4"/>
  <c r="D127" i="4"/>
  <c r="D143" i="4"/>
  <c r="D159" i="4"/>
  <c r="D175" i="4"/>
  <c r="D191" i="4"/>
  <c r="D207" i="4"/>
  <c r="D178" i="4"/>
  <c r="D165" i="4"/>
  <c r="D88" i="4"/>
  <c r="D137" i="4"/>
  <c r="D16" i="4"/>
  <c r="D32" i="4"/>
  <c r="D48" i="4"/>
  <c r="D64" i="4"/>
  <c r="D80" i="4"/>
  <c r="D96" i="4"/>
  <c r="D112" i="4"/>
  <c r="D128" i="4"/>
  <c r="D144" i="4"/>
  <c r="D160" i="4"/>
  <c r="D176" i="4"/>
  <c r="D192" i="4"/>
  <c r="D208" i="4"/>
  <c r="D162" i="4"/>
  <c r="D196" i="4"/>
  <c r="D135" i="4"/>
  <c r="D25" i="4"/>
  <c r="D17" i="4"/>
  <c r="D33" i="4"/>
  <c r="D49" i="4"/>
  <c r="D65" i="4"/>
  <c r="D81" i="4"/>
  <c r="D97" i="4"/>
  <c r="D113" i="4"/>
  <c r="D129" i="4"/>
  <c r="D145" i="4"/>
  <c r="D161" i="4"/>
  <c r="D177" i="4"/>
  <c r="D193" i="4"/>
  <c r="D185" i="4"/>
  <c r="D18" i="4"/>
  <c r="D34" i="4"/>
  <c r="D50" i="4"/>
  <c r="D66" i="4"/>
  <c r="D194" i="4"/>
  <c r="D104" i="4"/>
  <c r="D19" i="4"/>
  <c r="D35" i="4"/>
  <c r="D51" i="4"/>
  <c r="D67" i="4"/>
  <c r="D83" i="4"/>
  <c r="D99" i="4"/>
  <c r="D115" i="4"/>
  <c r="D131" i="4"/>
  <c r="D147" i="4"/>
  <c r="D163" i="4"/>
  <c r="D179" i="4"/>
  <c r="D195" i="4"/>
  <c r="D116" i="4"/>
  <c r="D148" i="4"/>
  <c r="D198" i="4"/>
  <c r="D168" i="4"/>
  <c r="D153" i="4"/>
  <c r="D20" i="4"/>
  <c r="D36" i="4"/>
  <c r="D52" i="4"/>
  <c r="D68" i="4"/>
  <c r="D84" i="4"/>
  <c r="D100" i="4"/>
  <c r="D132" i="4"/>
  <c r="D164" i="4"/>
  <c r="D183" i="4"/>
  <c r="D89" i="4"/>
  <c r="D21" i="4"/>
  <c r="D37" i="4"/>
  <c r="D53" i="4"/>
  <c r="D69" i="4"/>
  <c r="D85" i="4"/>
  <c r="D101" i="4"/>
  <c r="D117" i="4"/>
  <c r="D133" i="4"/>
  <c r="D149" i="4"/>
  <c r="D151" i="4"/>
  <c r="D73" i="4"/>
  <c r="D22" i="4"/>
  <c r="D38" i="4"/>
  <c r="D54" i="4"/>
  <c r="D70" i="4"/>
  <c r="D86" i="4"/>
  <c r="D102" i="4"/>
  <c r="D118" i="4"/>
  <c r="D134" i="4"/>
  <c r="D150" i="4"/>
  <c r="D120" i="4"/>
  <c r="D105" i="4"/>
  <c r="D23" i="4"/>
  <c r="D39" i="4"/>
  <c r="D55" i="4"/>
  <c r="D71" i="4"/>
  <c r="D87" i="4"/>
  <c r="D103" i="4"/>
  <c r="D119" i="4"/>
  <c r="D57" i="4"/>
  <c r="D24" i="4"/>
  <c r="D40" i="4"/>
  <c r="D56" i="4"/>
  <c r="D72" i="4"/>
  <c r="D184" i="4"/>
  <c r="D6" i="4" l="1"/>
  <c r="X11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tc={4640CB61-3B39-4D8A-B3A9-F6C38800A89B}</author>
  </authors>
  <commentList>
    <comment ref="U29" authorId="0" shapeId="0" xr:uid="{00000000-0006-0000-0300-000001000000}">
      <text>
        <t>[Trådet kommentar]
Din version af Excel lader dig læse denne trådede kommentar. Eventuelle ændringer vil dog blive fjernet, hvis filen åbnes i en nyere version af Excel. Få mere at vide: https://go.microsoft.com/fwlink/?linkid=870924
Kommentar:
    hvis der kun er 2 DMI grids med hver sin georegion, vælges den første på listen</t>
      </text>
    </comment>
  </commentList>
</comments>
</file>

<file path=xl/sharedStrings.xml><?xml version="1.0" encoding="utf-8"?>
<sst xmlns="http://schemas.openxmlformats.org/spreadsheetml/2006/main" count="1085" uniqueCount="904">
  <si>
    <t>Jordkernes længde                     (m)</t>
  </si>
  <si>
    <t>Jordkernes radius          (m)</t>
  </si>
  <si>
    <t>Frigivelsen beregnes ud fra proceduren beskrevet i kapitel 6 i vejledning.</t>
  </si>
  <si>
    <t>Fosfortilbageholdelse ved sedimentation</t>
  </si>
  <si>
    <t>Type projekt</t>
  </si>
  <si>
    <t>ha</t>
  </si>
  <si>
    <t>Oversvømmet areal</t>
  </si>
  <si>
    <t>Dage med oversvømmelse</t>
  </si>
  <si>
    <t>Vandløbstype</t>
  </si>
  <si>
    <t>Forventet tab af partikelbundet fosfor fra oplandet (beregnes med lingning 2, kapitel 5)</t>
  </si>
  <si>
    <t>Årsafstrømning</t>
  </si>
  <si>
    <t>‰ eller m/km</t>
  </si>
  <si>
    <t>Partikelbundet P (PP)</t>
  </si>
  <si>
    <t>Fosfordeponeringsrate</t>
  </si>
  <si>
    <t>Hældning på vandløb (SL)</t>
  </si>
  <si>
    <r>
      <t>Fe</t>
    </r>
    <r>
      <rPr>
        <b/>
        <vertAlign val="subscript"/>
        <sz val="10"/>
        <color indexed="63"/>
        <rFont val="Calibri"/>
        <family val="2"/>
      </rPr>
      <t>BD (0-30 cm)</t>
    </r>
    <r>
      <rPr>
        <b/>
        <sz val="10"/>
        <color indexed="63"/>
        <rFont val="Calibri"/>
        <family val="2"/>
      </rPr>
      <t xml:space="preserve">                           (mg Fe kg tør jord</t>
    </r>
    <r>
      <rPr>
        <b/>
        <vertAlign val="superscript"/>
        <sz val="10"/>
        <color indexed="63"/>
        <rFont val="Calibri"/>
        <family val="2"/>
      </rPr>
      <t>-1</t>
    </r>
    <r>
      <rPr>
        <b/>
        <sz val="10"/>
        <color indexed="63"/>
        <rFont val="Calibri"/>
        <family val="2"/>
      </rPr>
      <t>)</t>
    </r>
  </si>
  <si>
    <r>
      <t>P</t>
    </r>
    <r>
      <rPr>
        <b/>
        <vertAlign val="subscript"/>
        <sz val="10"/>
        <color indexed="63"/>
        <rFont val="Calibri"/>
        <family val="2"/>
      </rPr>
      <t>BD</t>
    </r>
    <r>
      <rPr>
        <b/>
        <sz val="10"/>
        <color indexed="63"/>
        <rFont val="Calibri"/>
        <family val="2"/>
      </rPr>
      <t xml:space="preserve"> pulje (kg P ha</t>
    </r>
    <r>
      <rPr>
        <b/>
        <vertAlign val="superscript"/>
        <sz val="10"/>
        <color indexed="63"/>
        <rFont val="Calibri"/>
        <family val="2"/>
      </rPr>
      <t>-1</t>
    </r>
    <r>
      <rPr>
        <b/>
        <sz val="10"/>
        <color indexed="63"/>
        <rFont val="Calibri"/>
        <family val="2"/>
      </rPr>
      <t>)</t>
    </r>
  </si>
  <si>
    <r>
      <t>kg P år</t>
    </r>
    <r>
      <rPr>
        <vertAlign val="superscript"/>
        <sz val="10"/>
        <color indexed="63"/>
        <rFont val="Calibri"/>
        <family val="2"/>
      </rPr>
      <t>-1</t>
    </r>
  </si>
  <si>
    <r>
      <t>mm år</t>
    </r>
    <r>
      <rPr>
        <vertAlign val="superscript"/>
        <sz val="10"/>
        <color indexed="63"/>
        <rFont val="Calibri"/>
        <family val="2"/>
      </rPr>
      <t>-1</t>
    </r>
  </si>
  <si>
    <r>
      <t>Q</t>
    </r>
    <r>
      <rPr>
        <vertAlign val="subscript"/>
        <sz val="10"/>
        <color indexed="63"/>
        <rFont val="Calibri"/>
        <family val="2"/>
      </rPr>
      <t>flom</t>
    </r>
  </si>
  <si>
    <r>
      <t>kg P ha</t>
    </r>
    <r>
      <rPr>
        <vertAlign val="superscript"/>
        <sz val="10"/>
        <color indexed="63"/>
        <rFont val="Calibri"/>
        <family val="2"/>
      </rPr>
      <t>-1</t>
    </r>
    <r>
      <rPr>
        <sz val="10"/>
        <color indexed="63"/>
        <rFont val="Calibri"/>
        <family val="2"/>
      </rPr>
      <t xml:space="preserve"> år</t>
    </r>
    <r>
      <rPr>
        <vertAlign val="superscript"/>
        <sz val="10"/>
        <color indexed="63"/>
        <rFont val="Calibri"/>
        <family val="2"/>
      </rPr>
      <t>-1</t>
    </r>
  </si>
  <si>
    <r>
      <t>kg P oversvømmet ha</t>
    </r>
    <r>
      <rPr>
        <vertAlign val="superscript"/>
        <sz val="10"/>
        <color indexed="63"/>
        <rFont val="Calibri"/>
        <family val="2"/>
      </rPr>
      <t>-1</t>
    </r>
    <r>
      <rPr>
        <sz val="10"/>
        <color indexed="63"/>
        <rFont val="Calibri"/>
        <family val="2"/>
      </rPr>
      <t xml:space="preserve"> år</t>
    </r>
    <r>
      <rPr>
        <vertAlign val="superscript"/>
        <sz val="10"/>
        <color indexed="63"/>
        <rFont val="Calibri"/>
        <family val="2"/>
      </rPr>
      <t>-1</t>
    </r>
  </si>
  <si>
    <t>Moderat (&lt;25%)</t>
  </si>
  <si>
    <t>Intensiv (&gt;25%)</t>
  </si>
  <si>
    <r>
      <rPr>
        <b/>
        <sz val="11"/>
        <color indexed="63"/>
        <rFont val="Calibri"/>
        <family val="2"/>
      </rPr>
      <t>A:</t>
    </r>
    <r>
      <rPr>
        <sz val="11"/>
        <color indexed="63"/>
        <rFont val="Calibri"/>
        <family val="2"/>
      </rPr>
      <t xml:space="preserve"> Overrisling med drænvand</t>
    </r>
  </si>
  <si>
    <r>
      <rPr>
        <b/>
        <sz val="11"/>
        <color indexed="63"/>
        <rFont val="Calibri"/>
        <family val="2"/>
      </rPr>
      <t>B:</t>
    </r>
    <r>
      <rPr>
        <sz val="11"/>
        <color indexed="63"/>
        <rFont val="Calibri"/>
        <family val="2"/>
      </rPr>
      <t xml:space="preserve"> Oversvømmelse med vandløbsvand</t>
    </r>
  </si>
  <si>
    <r>
      <rPr>
        <b/>
        <sz val="11"/>
        <color indexed="63"/>
        <rFont val="Calibri"/>
        <family val="2"/>
      </rPr>
      <t>C:</t>
    </r>
    <r>
      <rPr>
        <sz val="11"/>
        <color indexed="63"/>
        <rFont val="Calibri"/>
        <family val="2"/>
      </rPr>
      <t xml:space="preserve"> Overrisling + oversvømmelse</t>
    </r>
  </si>
  <si>
    <r>
      <rPr>
        <b/>
        <sz val="11"/>
        <color indexed="63"/>
        <rFont val="Calibri"/>
        <family val="2"/>
      </rPr>
      <t>D:</t>
    </r>
    <r>
      <rPr>
        <sz val="11"/>
        <color indexed="63"/>
        <rFont val="Calibri"/>
        <family val="2"/>
      </rPr>
      <t xml:space="preserve"> Sødannelse</t>
    </r>
  </si>
  <si>
    <t>A</t>
  </si>
  <si>
    <t>B</t>
  </si>
  <si>
    <t>C</t>
  </si>
  <si>
    <t>D</t>
  </si>
  <si>
    <t>Permanent vådt</t>
  </si>
  <si>
    <t>Delvist vådt</t>
  </si>
  <si>
    <t>Tørt</t>
  </si>
  <si>
    <t>Bestemmelse af vandstrømning gennem projektområdet (kapitel 3)</t>
  </si>
  <si>
    <t>Projektområdets areal</t>
  </si>
  <si>
    <t>Data om projektområdet</t>
  </si>
  <si>
    <t>%</t>
  </si>
  <si>
    <t>Georegion</t>
  </si>
  <si>
    <t>Beregnet BFI</t>
  </si>
  <si>
    <t>ID for prøvefelt</t>
  </si>
  <si>
    <t>Type</t>
  </si>
  <si>
    <t>Grundvandstand</t>
  </si>
  <si>
    <t>&lt;50</t>
  </si>
  <si>
    <t>&gt;50</t>
  </si>
  <si>
    <t>Type af område</t>
  </si>
  <si>
    <t>Tekstur</t>
  </si>
  <si>
    <t>Dræningsfaktor</t>
  </si>
  <si>
    <t>Drænings-faktor</t>
  </si>
  <si>
    <t>Dræningsintensitet</t>
  </si>
  <si>
    <t>Moderat</t>
  </si>
  <si>
    <t>Ingen</t>
  </si>
  <si>
    <t>Permeabilitet</t>
  </si>
  <si>
    <t>Vandgennemstrømningen bestemmes for hvert prøvefelt. Beregningerne følger beskrivelsen i kapitel 3</t>
  </si>
  <si>
    <t>Molvægt (g/mol)</t>
  </si>
  <si>
    <t>P</t>
  </si>
  <si>
    <t>Fe</t>
  </si>
  <si>
    <t>Korrektion af nedbør</t>
  </si>
  <si>
    <t>Frit eksponeret</t>
  </si>
  <si>
    <t>Moderat læ</t>
  </si>
  <si>
    <t>Ideelt læ</t>
  </si>
  <si>
    <t>Frit</t>
  </si>
  <si>
    <t>Ideelt</t>
  </si>
  <si>
    <t>År</t>
  </si>
  <si>
    <r>
      <t>kg P år</t>
    </r>
    <r>
      <rPr>
        <b/>
        <vertAlign val="superscript"/>
        <sz val="11"/>
        <color indexed="63"/>
        <rFont val="Calibri"/>
        <family val="2"/>
      </rPr>
      <t>-1</t>
    </r>
  </si>
  <si>
    <t xml:space="preserve">Fosforbalance for projektområdet </t>
  </si>
  <si>
    <t>Grundvandsdybde</t>
  </si>
  <si>
    <t>Højtliggende grundvandsspejl</t>
  </si>
  <si>
    <t>Dybtliggende grundvandsspejs (&gt;1m)</t>
  </si>
  <si>
    <r>
      <rPr>
        <b/>
        <sz val="11"/>
        <color indexed="63"/>
        <rFont val="Calibri"/>
        <family val="2"/>
      </rPr>
      <t>3:</t>
    </r>
    <r>
      <rPr>
        <sz val="11"/>
        <color indexed="63"/>
        <rFont val="Calibri"/>
        <family val="2"/>
      </rPr>
      <t xml:space="preserve"> Oplandsareal &gt;100 km2</t>
    </r>
  </si>
  <si>
    <r>
      <rPr>
        <b/>
        <sz val="11"/>
        <color indexed="63"/>
        <rFont val="Calibri"/>
        <family val="2"/>
      </rPr>
      <t>2:</t>
    </r>
    <r>
      <rPr>
        <sz val="11"/>
        <color indexed="63"/>
        <rFont val="Calibri"/>
        <family val="2"/>
      </rPr>
      <t xml:space="preserve"> Oplandsareal 10-100 km2</t>
    </r>
  </si>
  <si>
    <r>
      <rPr>
        <b/>
        <sz val="11"/>
        <color indexed="63"/>
        <rFont val="Calibri"/>
        <family val="2"/>
      </rPr>
      <t>1:</t>
    </r>
    <r>
      <rPr>
        <sz val="11"/>
        <color indexed="63"/>
        <rFont val="Calibri"/>
        <family val="2"/>
      </rPr>
      <t xml:space="preserve"> Oplandsareal &lt;10 km2, dog min. 2 km</t>
    </r>
    <r>
      <rPr>
        <vertAlign val="superscript"/>
        <sz val="11"/>
        <color indexed="63"/>
        <rFont val="Calibri"/>
        <family val="2"/>
      </rPr>
      <t>2</t>
    </r>
  </si>
  <si>
    <t>Vægt af ovntørret prøve                               (kg)</t>
  </si>
  <si>
    <t>Skjules når det endelige ark laves</t>
  </si>
  <si>
    <t>Anvendes kun ved delvist vådt</t>
  </si>
  <si>
    <r>
      <t>m</t>
    </r>
    <r>
      <rPr>
        <vertAlign val="superscript"/>
        <sz val="10"/>
        <color indexed="56"/>
        <rFont val="Calibri"/>
        <family val="2"/>
      </rPr>
      <t>3</t>
    </r>
    <r>
      <rPr>
        <sz val="10"/>
        <color indexed="56"/>
        <rFont val="Calibri"/>
        <family val="2"/>
      </rPr>
      <t xml:space="preserve"> år</t>
    </r>
    <r>
      <rPr>
        <vertAlign val="superscript"/>
        <sz val="10"/>
        <color indexed="56"/>
        <rFont val="Calibri"/>
        <family val="2"/>
      </rPr>
      <t>-1</t>
    </r>
  </si>
  <si>
    <r>
      <t>P</t>
    </r>
    <r>
      <rPr>
        <b/>
        <vertAlign val="subscript"/>
        <sz val="10"/>
        <color indexed="63"/>
        <rFont val="Calibri"/>
        <family val="2"/>
      </rPr>
      <t>BD (0-30 cm)</t>
    </r>
    <r>
      <rPr>
        <b/>
        <sz val="10"/>
        <color indexed="63"/>
        <rFont val="Calibri"/>
        <family val="2"/>
      </rPr>
      <t xml:space="preserve">                          (mg P kg tør jord</t>
    </r>
    <r>
      <rPr>
        <b/>
        <vertAlign val="superscript"/>
        <sz val="10"/>
        <color indexed="63"/>
        <rFont val="Calibri"/>
        <family val="2"/>
      </rPr>
      <t>-1</t>
    </r>
    <r>
      <rPr>
        <b/>
        <sz val="10"/>
        <color indexed="63"/>
        <rFont val="Calibri"/>
        <family val="2"/>
      </rPr>
      <t>)</t>
    </r>
  </si>
  <si>
    <t>Tekstur og permeabilitet bestemmes vha. tabel 2.1</t>
  </si>
  <si>
    <t>Prøvefeltes placering over vandløbets sommer-middelvandstand                                    (jf. afsnit 3.2)</t>
  </si>
  <si>
    <t>Grundsvandsdybde                                         (m)</t>
  </si>
  <si>
    <t>Vandløbsstrækning</t>
  </si>
  <si>
    <t>m</t>
  </si>
  <si>
    <t>Bredde for sedimentationsområde</t>
  </si>
  <si>
    <t>Der må maks. regnes sedimentation for et område op til</t>
  </si>
  <si>
    <r>
      <t>beregnes ud fra en vejledende værdi på 0.062 kg ha</t>
    </r>
    <r>
      <rPr>
        <vertAlign val="superscript"/>
        <sz val="10"/>
        <color indexed="63"/>
        <rFont val="Calibri"/>
        <family val="2"/>
      </rPr>
      <t>-1</t>
    </r>
    <r>
      <rPr>
        <sz val="10"/>
        <color indexed="63"/>
        <rFont val="Calibri"/>
        <family val="2"/>
      </rPr>
      <t xml:space="preserve"> år</t>
    </r>
    <r>
      <rPr>
        <vertAlign val="superscript"/>
        <sz val="10"/>
        <color indexed="63"/>
        <rFont val="Calibri"/>
        <family val="2"/>
      </rPr>
      <t>-1</t>
    </r>
  </si>
  <si>
    <t>Areal af prøvefelt      (ha)</t>
  </si>
  <si>
    <t>Længde af vandløbsstrækning grænsende op til projektområdet</t>
  </si>
  <si>
    <t>Modelberegnet oversvømmet areal</t>
  </si>
  <si>
    <t>kg</t>
  </si>
  <si>
    <t>Bestemt jf. afsnit 3.3</t>
  </si>
  <si>
    <t>Bestemmelse af vandgennemstrømning (kapitel 3)</t>
  </si>
  <si>
    <t>Drænings-intensitet             (jf. afsnit 3.6)</t>
  </si>
  <si>
    <t>Tabel til bestemmelse af permeabilitet (flere detaljer finde i afsnit 2.2 + 3.7)</t>
  </si>
  <si>
    <r>
      <t xml:space="preserve"> Q</t>
    </r>
    <r>
      <rPr>
        <b/>
        <vertAlign val="subscript"/>
        <sz val="10"/>
        <color indexed="56"/>
        <rFont val="Calibri"/>
        <family val="2"/>
      </rPr>
      <t>OF,areal</t>
    </r>
    <r>
      <rPr>
        <b/>
        <sz val="10"/>
        <color indexed="56"/>
        <rFont val="Calibri"/>
        <family val="2"/>
      </rPr>
      <t xml:space="preserve">  (afsnit 3.2)  </t>
    </r>
    <r>
      <rPr>
        <b/>
        <vertAlign val="subscript"/>
        <sz val="10"/>
        <color indexed="56"/>
        <rFont val="Calibri"/>
        <family val="2"/>
      </rPr>
      <t xml:space="preserve"> </t>
    </r>
    <r>
      <rPr>
        <b/>
        <sz val="10"/>
        <color indexed="56"/>
        <rFont val="Calibri"/>
        <family val="2"/>
      </rPr>
      <t>(mm år</t>
    </r>
    <r>
      <rPr>
        <b/>
        <vertAlign val="superscript"/>
        <sz val="10"/>
        <color indexed="56"/>
        <rFont val="Calibri"/>
        <family val="2"/>
      </rPr>
      <t>-1</t>
    </r>
    <r>
      <rPr>
        <b/>
        <sz val="10"/>
        <color indexed="56"/>
        <rFont val="Calibri"/>
        <family val="2"/>
      </rPr>
      <t>)</t>
    </r>
  </si>
  <si>
    <r>
      <t>Gennemstrømning (afsnit 3.2)                        (Q</t>
    </r>
    <r>
      <rPr>
        <b/>
        <vertAlign val="subscript"/>
        <sz val="10"/>
        <color indexed="56"/>
        <rFont val="Calibri"/>
        <family val="2"/>
      </rPr>
      <t>felt</t>
    </r>
    <r>
      <rPr>
        <b/>
        <sz val="10"/>
        <color indexed="56"/>
        <rFont val="Calibri"/>
        <family val="2"/>
      </rPr>
      <t>;mm år</t>
    </r>
    <r>
      <rPr>
        <b/>
        <vertAlign val="superscript"/>
        <sz val="10"/>
        <color indexed="56"/>
        <rFont val="Calibri"/>
        <family val="2"/>
      </rPr>
      <t>-1</t>
    </r>
    <r>
      <rPr>
        <b/>
        <sz val="10"/>
        <color indexed="56"/>
        <rFont val="Calibri"/>
        <family val="2"/>
      </rPr>
      <t>)</t>
    </r>
  </si>
  <si>
    <r>
      <t>Volumenvægt (ligning 6.3)        (kg m</t>
    </r>
    <r>
      <rPr>
        <b/>
        <vertAlign val="superscript"/>
        <sz val="10"/>
        <color indexed="63"/>
        <rFont val="Calibri"/>
        <family val="2"/>
      </rPr>
      <t>-3</t>
    </r>
    <r>
      <rPr>
        <b/>
        <sz val="10"/>
        <color indexed="63"/>
        <rFont val="Calibri"/>
        <family val="2"/>
      </rPr>
      <t>)</t>
    </r>
  </si>
  <si>
    <r>
      <t>Fe</t>
    </r>
    <r>
      <rPr>
        <b/>
        <vertAlign val="subscript"/>
        <sz val="10"/>
        <color indexed="63"/>
        <rFont val="Calibri"/>
        <family val="2"/>
      </rPr>
      <t>BD</t>
    </r>
    <r>
      <rPr>
        <b/>
        <sz val="10"/>
        <color indexed="63"/>
        <rFont val="Calibri"/>
        <family val="2"/>
      </rPr>
      <t>:P</t>
    </r>
    <r>
      <rPr>
        <b/>
        <vertAlign val="subscript"/>
        <sz val="10"/>
        <color indexed="63"/>
        <rFont val="Calibri"/>
        <family val="2"/>
      </rPr>
      <t>BD</t>
    </r>
    <r>
      <rPr>
        <b/>
        <sz val="10"/>
        <color indexed="63"/>
        <rFont val="Calibri"/>
        <family val="2"/>
      </rPr>
      <t xml:space="preserve"> (ligning 6.2) molforhold </t>
    </r>
  </si>
  <si>
    <t>Tilbageholdelsen beregnes ud fra proceduren beskrevet i kapitel 4 og 5 i vejledning, og er afhænger af typen af vådområde. Fosfor balancen er beregnet jf. kapitel 8.</t>
  </si>
  <si>
    <r>
      <t>(areal*Q</t>
    </r>
    <r>
      <rPr>
        <vertAlign val="subscript"/>
        <sz val="10"/>
        <color rgb="FF2B2137"/>
        <rFont val="Calibri"/>
        <family val="2"/>
        <scheme val="minor"/>
      </rPr>
      <t>felt</t>
    </r>
    <r>
      <rPr>
        <sz val="10"/>
        <color rgb="FF2B2137"/>
        <rFont val="Calibri"/>
        <family val="2"/>
        <scheme val="minor"/>
      </rPr>
      <t>*frigivelses rate)</t>
    </r>
  </si>
  <si>
    <t>Manuelt beregnet oversvømmet areal</t>
  </si>
  <si>
    <t>Oversvømmet areal bestemmes efter kapitel 5 i vejledningen - manuel eller modelberegnet</t>
  </si>
  <si>
    <t>Faktor</t>
  </si>
  <si>
    <r>
      <t>P</t>
    </r>
    <r>
      <rPr>
        <b/>
        <vertAlign val="subscript"/>
        <sz val="10"/>
        <color indexed="63"/>
        <rFont val="Calibri"/>
        <family val="2"/>
      </rPr>
      <t>BD</t>
    </r>
    <r>
      <rPr>
        <b/>
        <sz val="10"/>
        <color indexed="63"/>
        <rFont val="Calibri"/>
        <family val="2"/>
      </rPr>
      <t xml:space="preserve"> total (kg P)</t>
    </r>
  </si>
  <si>
    <t>Projektnavn</t>
  </si>
  <si>
    <t xml:space="preserve"> (kapitel 8 i vejledningen).</t>
  </si>
  <si>
    <t>Obs! Indsæt 0 hvis der ikke er overrisling</t>
  </si>
  <si>
    <t>Direkte oplandsareal til projektområde</t>
  </si>
  <si>
    <t>m24</t>
  </si>
  <si>
    <t>Fosfordeponering_metode1 LIGNING 1</t>
  </si>
  <si>
    <r>
      <t>Q</t>
    </r>
    <r>
      <rPr>
        <vertAlign val="subscript"/>
        <sz val="10"/>
        <color theme="3" tint="-0.499984740745262"/>
        <rFont val="Calibri"/>
        <family val="2"/>
        <scheme val="minor"/>
      </rPr>
      <t>flom</t>
    </r>
    <r>
      <rPr>
        <sz val="10"/>
        <color theme="3" tint="-0.499984740745262"/>
        <rFont val="Calibri"/>
        <family val="2"/>
        <scheme val="minor"/>
      </rPr>
      <t xml:space="preserve"> (1 - BFI) x årsafstrømning</t>
    </r>
  </si>
  <si>
    <r>
      <t xml:space="preserve">Base flow index (BFI) og overfladenær strømning - </t>
    </r>
    <r>
      <rPr>
        <b/>
        <sz val="14"/>
        <color theme="3" tint="-0.499984740745262"/>
        <rFont val="Calibri"/>
        <family val="2"/>
        <scheme val="minor"/>
      </rPr>
      <t>Til brug ved oversvømmelse</t>
    </r>
  </si>
  <si>
    <r>
      <t xml:space="preserve">BFI regnes på baggrund af karakteristika for </t>
    </r>
    <r>
      <rPr>
        <b/>
        <sz val="14"/>
        <color theme="3" tint="-0.499984740745262"/>
        <rFont val="Calibri"/>
        <family val="2"/>
        <scheme val="minor"/>
      </rPr>
      <t>det direkte opland</t>
    </r>
    <r>
      <rPr>
        <sz val="10"/>
        <color theme="3" tint="-0.499984740745262"/>
        <rFont val="Calibri"/>
        <family val="2"/>
        <scheme val="minor"/>
      </rPr>
      <t xml:space="preserve"> (jf. afsnit 3.3)</t>
    </r>
  </si>
  <si>
    <t>Base flow index (BFI) og overfladenær strømning fra dirékte opland</t>
  </si>
  <si>
    <t>Vandløbsoplandets areal</t>
  </si>
  <si>
    <r>
      <t>BFI regnes på baggrund af karakteristika for</t>
    </r>
    <r>
      <rPr>
        <sz val="12"/>
        <color theme="3" tint="-0.499984740745262"/>
        <rFont val="Calibri"/>
        <family val="2"/>
        <scheme val="minor"/>
      </rPr>
      <t xml:space="preserve"> </t>
    </r>
    <r>
      <rPr>
        <b/>
        <sz val="14"/>
        <color theme="3" tint="-0.499984740745262"/>
        <rFont val="Calibri"/>
        <family val="2"/>
        <scheme val="minor"/>
      </rPr>
      <t>vandløbsoplandet</t>
    </r>
    <r>
      <rPr>
        <b/>
        <sz val="10"/>
        <color theme="3" tint="-0.499984740745262"/>
        <rFont val="Calibri"/>
        <family val="2"/>
        <scheme val="minor"/>
      </rPr>
      <t xml:space="preserve"> </t>
    </r>
    <r>
      <rPr>
        <sz val="10"/>
        <color theme="3" tint="-0.499984740745262"/>
        <rFont val="Calibri"/>
        <family val="2"/>
        <scheme val="minor"/>
      </rPr>
      <t>(jf. afsnit 3.3)</t>
    </r>
  </si>
  <si>
    <t>strømning</t>
  </si>
  <si>
    <t>Andel sandjord i vandløbsopland (S)</t>
  </si>
  <si>
    <t>Andel landbrugsjord i vandløbsopland (A)</t>
  </si>
  <si>
    <t>Andel af eng/mose i vandløbsopland (EM)</t>
  </si>
  <si>
    <t>meter fra vandløbet på hver side (oversvømmet areal)</t>
  </si>
  <si>
    <t>Fosfordeponering_metode2 LIGNING 2</t>
  </si>
  <si>
    <t>(georegion 9, Bornholm, ikke vist)</t>
  </si>
  <si>
    <t xml:space="preserve">Obs!! Hvis beregning 1 &gt; beregning 2  vælges beregning 2 automatisk ellers anvendes 1 </t>
  </si>
  <si>
    <t>Beregning af deponering med ligning 1, Kap 5.2</t>
  </si>
  <si>
    <t>,</t>
  </si>
  <si>
    <r>
      <t>kg P år</t>
    </r>
    <r>
      <rPr>
        <vertAlign val="superscript"/>
        <sz val="10"/>
        <color rgb="FF2B2137"/>
        <rFont val="Calibri"/>
        <family val="2"/>
        <scheme val="minor"/>
      </rPr>
      <t>-1</t>
    </r>
  </si>
  <si>
    <t>Beregning af deponering med ligning 2, Kap 5.3 (MAKSIMAL årlig sedimentation af fosfor; i.e. 10 % af årlig PP transport i vandløb)</t>
  </si>
  <si>
    <t>Drænet oplandsareal til overrisling</t>
  </si>
  <si>
    <t>Kode 4110 + 4120 i AIS arealanvendelses tema</t>
  </si>
  <si>
    <t>Nuværende forhold</t>
  </si>
  <si>
    <t>Rettelser foretaget i regne arket</t>
  </si>
  <si>
    <t>Juni2018: indsat ny opdateret figur vandløbsoplande</t>
  </si>
  <si>
    <t>Juni 2018: Indsat 2 Gule Bjælker i række 31 E-I og L-O fortællende hvilke data der skal indtastes</t>
  </si>
  <si>
    <t>Juni 2018: Der kan nu indsættes en ekstra række i regnearket, se kolonne R nedenunder gennemstrømning</t>
  </si>
  <si>
    <t>Ligning 6.1 rettet</t>
  </si>
  <si>
    <t>Indsæt kun det antal rækker der skal bruges. Man kan senere indsætte  en tom række hvis det bliver nødvendigt</t>
  </si>
  <si>
    <t>Oktober 2018</t>
  </si>
  <si>
    <t>August 2020</t>
  </si>
  <si>
    <t>Indsat ligning for oxisk interface, M2, i kolonne AI</t>
  </si>
  <si>
    <t>Fosforfrigivelse beregnet efter M2 i kolonne AJ</t>
  </si>
  <si>
    <t>Antal år med fosforfrigivelse med oprindelig formel M1 beregnes for hvert grid i kolonne AK</t>
  </si>
  <si>
    <t>Antal år med fosforfrigivelse beregnet med ny formel M2 beregnes for hvert grid i kolonne AL</t>
  </si>
  <si>
    <t>DMI10</t>
  </si>
  <si>
    <t>nedbor_kor</t>
  </si>
  <si>
    <t>sand_pct</t>
  </si>
  <si>
    <t>dyrk_pct</t>
  </si>
  <si>
    <t>georeg</t>
  </si>
  <si>
    <t>befast_pct</t>
  </si>
  <si>
    <t>clay_pct</t>
  </si>
  <si>
    <t>potfordampning</t>
  </si>
  <si>
    <t>list</t>
  </si>
  <si>
    <t>E</t>
  </si>
  <si>
    <t>F</t>
  </si>
  <si>
    <t>G</t>
  </si>
  <si>
    <t>H</t>
  </si>
  <si>
    <t>I</t>
  </si>
  <si>
    <t>average</t>
  </si>
  <si>
    <t>DMI-gridnr. (maks 24 grids kan indtastes)</t>
  </si>
  <si>
    <t>kol</t>
  </si>
  <si>
    <t>J</t>
  </si>
  <si>
    <t>L</t>
  </si>
  <si>
    <t>M</t>
  </si>
  <si>
    <t>N</t>
  </si>
  <si>
    <t>DMI-gridnr. (maks 9 grids kan indtastes)</t>
  </si>
  <si>
    <t>ler_pct</t>
  </si>
  <si>
    <t>befæst_pct</t>
  </si>
  <si>
    <t>Korrrigeret årlig nedbør i mm</t>
  </si>
  <si>
    <t>Årlig potentiel fordampning i mm</t>
  </si>
  <si>
    <t>Vandløbsoplandet:</t>
  </si>
  <si>
    <t>Det direkte opland:</t>
  </si>
  <si>
    <t>Befæstet areal (j9_VO)</t>
  </si>
  <si>
    <t>Andel af lerjord (jL_VO)</t>
  </si>
  <si>
    <t>Befæstet areal (j9_DO)</t>
  </si>
  <si>
    <t>Andel lerjord (jL_DO)</t>
  </si>
  <si>
    <t>Søer</t>
  </si>
  <si>
    <t>Prøvefelt</t>
  </si>
  <si>
    <t>Fe:P</t>
  </si>
  <si>
    <t>C: Sedimentation ved oversvømmelse (kapitel 5)</t>
  </si>
  <si>
    <t>B: Overrisling (kapitel 4)</t>
  </si>
  <si>
    <t>A: Fosforfrigivelse fra projektområder</t>
  </si>
  <si>
    <t>Opholdstid (tw, dage)</t>
  </si>
  <si>
    <t>Arealvægtet Fe:P-forhold</t>
  </si>
  <si>
    <t>Søareal [ha]</t>
  </si>
  <si>
    <t>Sum af søareal i prøvefelter [ha]</t>
  </si>
  <si>
    <t>Biomassehøst</t>
  </si>
  <si>
    <t>Antal år med afhøstning (0-10)</t>
  </si>
  <si>
    <t>Areal (ha)</t>
  </si>
  <si>
    <r>
      <t>Frigivelses rate (kg P ha</t>
    </r>
    <r>
      <rPr>
        <b/>
        <vertAlign val="superscript"/>
        <sz val="10"/>
        <color theme="1"/>
        <rFont val="Calibri"/>
        <family val="2"/>
        <scheme val="minor"/>
      </rPr>
      <t xml:space="preserve">-1 </t>
    </r>
    <r>
      <rPr>
        <b/>
        <sz val="10"/>
        <color theme="1"/>
        <rFont val="Calibri"/>
        <family val="2"/>
        <scheme val="minor"/>
      </rPr>
      <t>mm</t>
    </r>
    <r>
      <rPr>
        <b/>
        <vertAlign val="superscript"/>
        <sz val="10"/>
        <color theme="1"/>
        <rFont val="Calibri"/>
        <family val="2"/>
        <scheme val="minor"/>
      </rPr>
      <t>-1</t>
    </r>
    <r>
      <rPr>
        <b/>
        <sz val="10"/>
        <color theme="1"/>
        <rFont val="Calibri"/>
        <family val="2"/>
        <scheme val="minor"/>
      </rPr>
      <t>)</t>
    </r>
  </si>
  <si>
    <r>
      <t>Fosforfrigivelse (kg P år</t>
    </r>
    <r>
      <rPr>
        <b/>
        <vertAlign val="superscript"/>
        <sz val="10"/>
        <color theme="1"/>
        <rFont val="Calibri"/>
        <family val="2"/>
        <scheme val="minor"/>
      </rPr>
      <t>-1</t>
    </r>
    <r>
      <rPr>
        <b/>
        <sz val="10"/>
        <color theme="1"/>
        <rFont val="Calibri"/>
        <family val="2"/>
        <scheme val="minor"/>
      </rPr>
      <t>)</t>
    </r>
  </si>
  <si>
    <r>
      <t>P</t>
    </r>
    <r>
      <rPr>
        <b/>
        <vertAlign val="subscript"/>
        <sz val="10"/>
        <color indexed="63"/>
        <rFont val="Calibri"/>
        <family val="2"/>
      </rPr>
      <t>BD</t>
    </r>
    <r>
      <rPr>
        <b/>
        <sz val="10"/>
        <color indexed="63"/>
        <rFont val="Calibri"/>
        <family val="2"/>
      </rPr>
      <t xml:space="preserve"> total efter biomassehøst (kg P)</t>
    </r>
  </si>
  <si>
    <t>Reduktion i PBD-pulje (kg)</t>
  </si>
  <si>
    <r>
      <t>Fe</t>
    </r>
    <r>
      <rPr>
        <b/>
        <vertAlign val="subscript"/>
        <sz val="10"/>
        <color indexed="63"/>
        <rFont val="Calibri"/>
        <family val="2"/>
      </rPr>
      <t>BD</t>
    </r>
    <r>
      <rPr>
        <b/>
        <sz val="10"/>
        <color indexed="63"/>
        <rFont val="Calibri"/>
        <family val="2"/>
      </rPr>
      <t>:P</t>
    </r>
    <r>
      <rPr>
        <b/>
        <vertAlign val="subscript"/>
        <sz val="10"/>
        <color indexed="63"/>
        <rFont val="Calibri"/>
        <family val="2"/>
      </rPr>
      <t>BD</t>
    </r>
    <r>
      <rPr>
        <b/>
        <sz val="10"/>
        <color indexed="63"/>
        <rFont val="Calibri"/>
        <family val="2"/>
      </rPr>
      <t xml:space="preserve"> molforhold efter evt. biomassehøst</t>
    </r>
  </si>
  <si>
    <r>
      <t>Samlet fosfor (P</t>
    </r>
    <r>
      <rPr>
        <b/>
        <vertAlign val="subscript"/>
        <sz val="10"/>
        <color indexed="8"/>
        <rFont val="Calibri"/>
        <family val="2"/>
      </rPr>
      <t>BD</t>
    </r>
    <r>
      <rPr>
        <b/>
        <sz val="10"/>
        <color indexed="8"/>
        <rFont val="Calibri"/>
        <family val="2"/>
      </rPr>
      <t>) pulje i projektområdet</t>
    </r>
  </si>
  <si>
    <r>
      <t>antal dage år</t>
    </r>
    <r>
      <rPr>
        <vertAlign val="superscript"/>
        <sz val="10"/>
        <color rgb="FF2B2137"/>
        <rFont val="Calibri"/>
        <family val="2"/>
        <scheme val="minor"/>
      </rPr>
      <t>-1</t>
    </r>
  </si>
  <si>
    <t>Andel af sandjord (jS_VO)</t>
  </si>
  <si>
    <t>B. Fosfortilbageholdelse</t>
  </si>
  <si>
    <t>C. Valgt Fosfordeponering</t>
  </si>
  <si>
    <t>A. Samlet fosforfrigivelse fra projektområdet</t>
  </si>
  <si>
    <t>Negative tal=frigivelse/tab af P. Positive tal=tilbageholdelse af P</t>
  </si>
  <si>
    <t>hvis der kun er 2 DMI grids med hver sin georegion, vælges den første på listen</t>
  </si>
  <si>
    <r>
      <t>Q</t>
    </r>
    <r>
      <rPr>
        <vertAlign val="subscript"/>
        <sz val="10"/>
        <color theme="3" tint="-0.499984740745262"/>
        <rFont val="Calibri"/>
        <family val="2"/>
        <scheme val="minor"/>
      </rPr>
      <t>OF</t>
    </r>
    <r>
      <rPr>
        <sz val="10"/>
        <color theme="3" tint="-0.499984740745262"/>
        <rFont val="Calibri"/>
        <family val="2"/>
        <scheme val="minor"/>
      </rPr>
      <t xml:space="preserve"> overfladenær</t>
    </r>
  </si>
  <si>
    <t>D. Fosfortab fra søer</t>
  </si>
  <si>
    <t>Total fosfortilbageholdelse (-A+B+C-D)</t>
  </si>
  <si>
    <t>Dernæst det samlede søareal</t>
  </si>
  <si>
    <t>Herefter  indtastes de prøvefelter hvori der vil være sø</t>
  </si>
  <si>
    <t xml:space="preserve">Da det IKKE nødvendigvis er hele prøvefeltet der bliver til sø indtastes  arealet af den del af prøvefeltet der bliver til sø  </t>
  </si>
  <si>
    <t>Vejledning til indtastning I dette faneblad</t>
  </si>
  <si>
    <t>Først indtastes søens opholdstid i dage</t>
  </si>
  <si>
    <t xml:space="preserve">Ny viden: Nyt faneblad "SØER" beregner P tab i nyretablerede søer med ny formel specielt for søer </t>
  </si>
  <si>
    <t>mm/år</t>
  </si>
  <si>
    <t>Korrrigeret årlig nedbør</t>
  </si>
  <si>
    <r>
      <t xml:space="preserve">Årsafstrømning </t>
    </r>
    <r>
      <rPr>
        <b/>
        <sz val="10"/>
        <color theme="1"/>
        <rFont val="Calibri"/>
        <family val="2"/>
        <scheme val="minor"/>
      </rPr>
      <t>eller</t>
    </r>
    <r>
      <rPr>
        <sz val="10"/>
        <color theme="1"/>
        <rFont val="Calibri"/>
        <family val="2"/>
        <scheme val="minor"/>
      </rPr>
      <t xml:space="preserve"> nettonedbør </t>
    </r>
  </si>
  <si>
    <t>Fremtidige forhold</t>
  </si>
  <si>
    <t>(gælder også grundvandsdybde)</t>
  </si>
  <si>
    <t>EM_Ppmodel</t>
  </si>
  <si>
    <t>S_PPmodel</t>
  </si>
  <si>
    <t>A_PPmodel</t>
  </si>
  <si>
    <r>
      <t>Fosforfrigivelse fra ny sø
(kg P år</t>
    </r>
    <r>
      <rPr>
        <b/>
        <vertAlign val="superscript"/>
        <sz val="10"/>
        <color theme="1"/>
        <rFont val="Calibri"/>
        <family val="2"/>
        <scheme val="minor"/>
      </rPr>
      <t>-1</t>
    </r>
    <r>
      <rPr>
        <b/>
        <sz val="10"/>
        <color theme="1"/>
        <rFont val="Calibri"/>
        <family val="2"/>
        <scheme val="minor"/>
      </rPr>
      <t>)</t>
    </r>
  </si>
  <si>
    <t>DMI10_NY</t>
  </si>
  <si>
    <t>627_44</t>
  </si>
  <si>
    <t>626_44</t>
  </si>
  <si>
    <t>625_44</t>
  </si>
  <si>
    <t>624_44</t>
  </si>
  <si>
    <t>623_44</t>
  </si>
  <si>
    <t>622_44</t>
  </si>
  <si>
    <t>621_44</t>
  </si>
  <si>
    <t>620_44</t>
  </si>
  <si>
    <t>619_44</t>
  </si>
  <si>
    <t>618_44</t>
  </si>
  <si>
    <t>617_44</t>
  </si>
  <si>
    <t>616_44</t>
  </si>
  <si>
    <t>615_44</t>
  </si>
  <si>
    <t>631_45</t>
  </si>
  <si>
    <t>630_45</t>
  </si>
  <si>
    <t>629_45</t>
  </si>
  <si>
    <t>628_45</t>
  </si>
  <si>
    <t>627_45</t>
  </si>
  <si>
    <t>626_45</t>
  </si>
  <si>
    <t>625_45</t>
  </si>
  <si>
    <t>624_45</t>
  </si>
  <si>
    <t>623_45</t>
  </si>
  <si>
    <t>622_45</t>
  </si>
  <si>
    <t>621_45</t>
  </si>
  <si>
    <t>620_45</t>
  </si>
  <si>
    <t>619_45</t>
  </si>
  <si>
    <t>618_45</t>
  </si>
  <si>
    <t>617_45</t>
  </si>
  <si>
    <t>616_45</t>
  </si>
  <si>
    <t>615_45</t>
  </si>
  <si>
    <t>614_45</t>
  </si>
  <si>
    <t>632_46</t>
  </si>
  <si>
    <t>631_46</t>
  </si>
  <si>
    <t>630_46</t>
  </si>
  <si>
    <t>629_46</t>
  </si>
  <si>
    <t>628_46</t>
  </si>
  <si>
    <t>627_46</t>
  </si>
  <si>
    <t>626_46</t>
  </si>
  <si>
    <t>625_46</t>
  </si>
  <si>
    <t>624_46</t>
  </si>
  <si>
    <t>623_46</t>
  </si>
  <si>
    <t>622_46</t>
  </si>
  <si>
    <t>621_46</t>
  </si>
  <si>
    <t>620_46</t>
  </si>
  <si>
    <t>619_46</t>
  </si>
  <si>
    <t>618_46</t>
  </si>
  <si>
    <t>617_46</t>
  </si>
  <si>
    <t>616_46</t>
  </si>
  <si>
    <t>615_46</t>
  </si>
  <si>
    <t>614_46</t>
  </si>
  <si>
    <t>613_46</t>
  </si>
  <si>
    <t>611_46</t>
  </si>
  <si>
    <t>610_46</t>
  </si>
  <si>
    <t>632_47</t>
  </si>
  <si>
    <t>631_47</t>
  </si>
  <si>
    <t>630_47</t>
  </si>
  <si>
    <t>629_47</t>
  </si>
  <si>
    <t>628_47</t>
  </si>
  <si>
    <t>627_47</t>
  </si>
  <si>
    <t>626_47</t>
  </si>
  <si>
    <t>625_47</t>
  </si>
  <si>
    <t>624_47</t>
  </si>
  <si>
    <t>623_47</t>
  </si>
  <si>
    <t>622_47</t>
  </si>
  <si>
    <t>621_47</t>
  </si>
  <si>
    <t>620_47</t>
  </si>
  <si>
    <t>619_47</t>
  </si>
  <si>
    <t>618_47</t>
  </si>
  <si>
    <t>617_47</t>
  </si>
  <si>
    <t>616_47</t>
  </si>
  <si>
    <t>615_47</t>
  </si>
  <si>
    <t>614_47</t>
  </si>
  <si>
    <t>613_47</t>
  </si>
  <si>
    <t>612_47</t>
  </si>
  <si>
    <t>611_47</t>
  </si>
  <si>
    <t>610_47</t>
  </si>
  <si>
    <t>609_47</t>
  </si>
  <si>
    <t>608_47</t>
  </si>
  <si>
    <t>632_48</t>
  </si>
  <si>
    <t>631_48</t>
  </si>
  <si>
    <t>630_48</t>
  </si>
  <si>
    <t>629_48</t>
  </si>
  <si>
    <t>628_48</t>
  </si>
  <si>
    <t>627_48</t>
  </si>
  <si>
    <t>626_48</t>
  </si>
  <si>
    <t>625_48</t>
  </si>
  <si>
    <t>624_48</t>
  </si>
  <si>
    <t>623_48</t>
  </si>
  <si>
    <t>622_48</t>
  </si>
  <si>
    <t>621_48</t>
  </si>
  <si>
    <t>620_48</t>
  </si>
  <si>
    <t>619_48</t>
  </si>
  <si>
    <t>618_48</t>
  </si>
  <si>
    <t>617_48</t>
  </si>
  <si>
    <t>616_48</t>
  </si>
  <si>
    <t>615_48</t>
  </si>
  <si>
    <t>614_48</t>
  </si>
  <si>
    <t>613_48</t>
  </si>
  <si>
    <t>612_48</t>
  </si>
  <si>
    <t>611_48</t>
  </si>
  <si>
    <t>610_48</t>
  </si>
  <si>
    <t>609_48</t>
  </si>
  <si>
    <t>608_48</t>
  </si>
  <si>
    <t>633_49</t>
  </si>
  <si>
    <t>632_49</t>
  </si>
  <si>
    <t>631_49</t>
  </si>
  <si>
    <t>630_49</t>
  </si>
  <si>
    <t>629_49</t>
  </si>
  <si>
    <t>628_49</t>
  </si>
  <si>
    <t>627_49</t>
  </si>
  <si>
    <t>626_49</t>
  </si>
  <si>
    <t>625_49</t>
  </si>
  <si>
    <t>624_49</t>
  </si>
  <si>
    <t>623_49</t>
  </si>
  <si>
    <t>622_49</t>
  </si>
  <si>
    <t>621_49</t>
  </si>
  <si>
    <t>620_49</t>
  </si>
  <si>
    <t>619_49</t>
  </si>
  <si>
    <t>618_49</t>
  </si>
  <si>
    <t>617_49</t>
  </si>
  <si>
    <t>616_49</t>
  </si>
  <si>
    <t>615_49</t>
  </si>
  <si>
    <t>614_49</t>
  </si>
  <si>
    <t>613_49</t>
  </si>
  <si>
    <t>612_49</t>
  </si>
  <si>
    <t>611_49</t>
  </si>
  <si>
    <t>610_49</t>
  </si>
  <si>
    <t>609_49</t>
  </si>
  <si>
    <t>608_49</t>
  </si>
  <si>
    <t>633_50</t>
  </si>
  <si>
    <t>632_50</t>
  </si>
  <si>
    <t>631_50</t>
  </si>
  <si>
    <t>630_50</t>
  </si>
  <si>
    <t>629_50</t>
  </si>
  <si>
    <t>628_50</t>
  </si>
  <si>
    <t>627_50</t>
  </si>
  <si>
    <t>626_50</t>
  </si>
  <si>
    <t>625_50</t>
  </si>
  <si>
    <t>624_50</t>
  </si>
  <si>
    <t>623_50</t>
  </si>
  <si>
    <t>622_50</t>
  </si>
  <si>
    <t>621_50</t>
  </si>
  <si>
    <t>620_50</t>
  </si>
  <si>
    <t>619_50</t>
  </si>
  <si>
    <t>618_50</t>
  </si>
  <si>
    <t>617_50</t>
  </si>
  <si>
    <t>616_50</t>
  </si>
  <si>
    <t>615_50</t>
  </si>
  <si>
    <t>614_50</t>
  </si>
  <si>
    <t>613_50</t>
  </si>
  <si>
    <t>612_50</t>
  </si>
  <si>
    <t>611_50</t>
  </si>
  <si>
    <t>610_50</t>
  </si>
  <si>
    <t>609_50</t>
  </si>
  <si>
    <t>608_50</t>
  </si>
  <si>
    <t>633_51</t>
  </si>
  <si>
    <t>632_51</t>
  </si>
  <si>
    <t>631_51</t>
  </si>
  <si>
    <t>630_51</t>
  </si>
  <si>
    <t>629_51</t>
  </si>
  <si>
    <t>628_51</t>
  </si>
  <si>
    <t>627_51</t>
  </si>
  <si>
    <t>626_51</t>
  </si>
  <si>
    <t>625_51</t>
  </si>
  <si>
    <t>624_51</t>
  </si>
  <si>
    <t>623_51</t>
  </si>
  <si>
    <t>622_51</t>
  </si>
  <si>
    <t>621_51</t>
  </si>
  <si>
    <t>620_51</t>
  </si>
  <si>
    <t>619_51</t>
  </si>
  <si>
    <t>618_51</t>
  </si>
  <si>
    <t>617_51</t>
  </si>
  <si>
    <t>616_51</t>
  </si>
  <si>
    <t>615_51</t>
  </si>
  <si>
    <t>614_51</t>
  </si>
  <si>
    <t>613_51</t>
  </si>
  <si>
    <t>612_51</t>
  </si>
  <si>
    <t>611_51</t>
  </si>
  <si>
    <t>610_51</t>
  </si>
  <si>
    <t>609_51</t>
  </si>
  <si>
    <t>608_51</t>
  </si>
  <si>
    <t>607_51</t>
  </si>
  <si>
    <t>633_52</t>
  </si>
  <si>
    <t>632_52</t>
  </si>
  <si>
    <t>631_52</t>
  </si>
  <si>
    <t>630_52</t>
  </si>
  <si>
    <t>629_52</t>
  </si>
  <si>
    <t>628_52</t>
  </si>
  <si>
    <t>627_52</t>
  </si>
  <si>
    <t>626_52</t>
  </si>
  <si>
    <t>625_52</t>
  </si>
  <si>
    <t>624_52</t>
  </si>
  <si>
    <t>623_52</t>
  </si>
  <si>
    <t>622_52</t>
  </si>
  <si>
    <t>621_52</t>
  </si>
  <si>
    <t>620_52</t>
  </si>
  <si>
    <t>619_52</t>
  </si>
  <si>
    <t>618_52</t>
  </si>
  <si>
    <t>617_52</t>
  </si>
  <si>
    <t>616_52</t>
  </si>
  <si>
    <t>615_52</t>
  </si>
  <si>
    <t>614_52</t>
  </si>
  <si>
    <t>613_52</t>
  </si>
  <si>
    <t>612_52</t>
  </si>
  <si>
    <t>611_52</t>
  </si>
  <si>
    <t>610_52</t>
  </si>
  <si>
    <t>609_52</t>
  </si>
  <si>
    <t>608_52</t>
  </si>
  <si>
    <t>607_52</t>
  </si>
  <si>
    <t>634_53</t>
  </si>
  <si>
    <t>633_53</t>
  </si>
  <si>
    <t>632_53</t>
  </si>
  <si>
    <t>631_53</t>
  </si>
  <si>
    <t>630_53</t>
  </si>
  <si>
    <t>629_53</t>
  </si>
  <si>
    <t>628_53</t>
  </si>
  <si>
    <t>627_53</t>
  </si>
  <si>
    <t>626_53</t>
  </si>
  <si>
    <t>625_53</t>
  </si>
  <si>
    <t>624_53</t>
  </si>
  <si>
    <t>623_53</t>
  </si>
  <si>
    <t>622_53</t>
  </si>
  <si>
    <t>621_53</t>
  </si>
  <si>
    <t>620_53</t>
  </si>
  <si>
    <t>619_53</t>
  </si>
  <si>
    <t>618_53</t>
  </si>
  <si>
    <t>617_53</t>
  </si>
  <si>
    <t>616_53</t>
  </si>
  <si>
    <t>615_53</t>
  </si>
  <si>
    <t>614_53</t>
  </si>
  <si>
    <t>613_53</t>
  </si>
  <si>
    <t>612_53</t>
  </si>
  <si>
    <t>611_53</t>
  </si>
  <si>
    <t>610_53</t>
  </si>
  <si>
    <t>609_53</t>
  </si>
  <si>
    <t>608_53</t>
  </si>
  <si>
    <t>636_54</t>
  </si>
  <si>
    <t>635_54</t>
  </si>
  <si>
    <t>634_54</t>
  </si>
  <si>
    <t>633_54</t>
  </si>
  <si>
    <t>632_54</t>
  </si>
  <si>
    <t>631_54</t>
  </si>
  <si>
    <t>630_54</t>
  </si>
  <si>
    <t>629_54</t>
  </si>
  <si>
    <t>628_54</t>
  </si>
  <si>
    <t>627_54</t>
  </si>
  <si>
    <t>626_54</t>
  </si>
  <si>
    <t>625_54</t>
  </si>
  <si>
    <t>624_54</t>
  </si>
  <si>
    <t>623_54</t>
  </si>
  <si>
    <t>622_54</t>
  </si>
  <si>
    <t>621_54</t>
  </si>
  <si>
    <t>620_54</t>
  </si>
  <si>
    <t>619_54</t>
  </si>
  <si>
    <t>618_54</t>
  </si>
  <si>
    <t>617_54</t>
  </si>
  <si>
    <t>616_54</t>
  </si>
  <si>
    <t>615_54</t>
  </si>
  <si>
    <t>614_54</t>
  </si>
  <si>
    <t>613_54</t>
  </si>
  <si>
    <t>612_54</t>
  </si>
  <si>
    <t>611_54</t>
  </si>
  <si>
    <t>610_54</t>
  </si>
  <si>
    <t>609_54</t>
  </si>
  <si>
    <t>608_54</t>
  </si>
  <si>
    <t>607_54</t>
  </si>
  <si>
    <t>638_55</t>
  </si>
  <si>
    <t>637_55</t>
  </si>
  <si>
    <t>636_55</t>
  </si>
  <si>
    <t>635_55</t>
  </si>
  <si>
    <t>634_55</t>
  </si>
  <si>
    <t>633_55</t>
  </si>
  <si>
    <t>632_55</t>
  </si>
  <si>
    <t>631_55</t>
  </si>
  <si>
    <t>630_55</t>
  </si>
  <si>
    <t>629_55</t>
  </si>
  <si>
    <t>628_55</t>
  </si>
  <si>
    <t>627_55</t>
  </si>
  <si>
    <t>626_55</t>
  </si>
  <si>
    <t>625_55</t>
  </si>
  <si>
    <t>624_55</t>
  </si>
  <si>
    <t>623_55</t>
  </si>
  <si>
    <t>622_55</t>
  </si>
  <si>
    <t>621_55</t>
  </si>
  <si>
    <t>620_55</t>
  </si>
  <si>
    <t>619_55</t>
  </si>
  <si>
    <t>618_55</t>
  </si>
  <si>
    <t>617_55</t>
  </si>
  <si>
    <t>616_55</t>
  </si>
  <si>
    <t>615_55</t>
  </si>
  <si>
    <t>614_55</t>
  </si>
  <si>
    <t>613_55</t>
  </si>
  <si>
    <t>612_55</t>
  </si>
  <si>
    <t>610_55</t>
  </si>
  <si>
    <t>609_55</t>
  </si>
  <si>
    <t>608_55</t>
  </si>
  <si>
    <t>638_56</t>
  </si>
  <si>
    <t>637_56</t>
  </si>
  <si>
    <t>636_56</t>
  </si>
  <si>
    <t>635_56</t>
  </si>
  <si>
    <t>634_56</t>
  </si>
  <si>
    <t>633_56</t>
  </si>
  <si>
    <t>632_56</t>
  </si>
  <si>
    <t>631_56</t>
  </si>
  <si>
    <t>630_56</t>
  </si>
  <si>
    <t>629_56</t>
  </si>
  <si>
    <t>628_56</t>
  </si>
  <si>
    <t>627_56</t>
  </si>
  <si>
    <t>626_56</t>
  </si>
  <si>
    <t>625_56</t>
  </si>
  <si>
    <t>624_56</t>
  </si>
  <si>
    <t>623_56</t>
  </si>
  <si>
    <t>622_56</t>
  </si>
  <si>
    <t>621_56</t>
  </si>
  <si>
    <t>620_56</t>
  </si>
  <si>
    <t>619_56</t>
  </si>
  <si>
    <t>618_56</t>
  </si>
  <si>
    <t>617_56</t>
  </si>
  <si>
    <t>615_56</t>
  </si>
  <si>
    <t>614_56</t>
  </si>
  <si>
    <t>613_56</t>
  </si>
  <si>
    <t>612_56</t>
  </si>
  <si>
    <t>611_56</t>
  </si>
  <si>
    <t>610_56</t>
  </si>
  <si>
    <t>609_56</t>
  </si>
  <si>
    <t>608_56</t>
  </si>
  <si>
    <t>638_57</t>
  </si>
  <si>
    <t>637_57</t>
  </si>
  <si>
    <t>636_57</t>
  </si>
  <si>
    <t>635_57</t>
  </si>
  <si>
    <t>634_57</t>
  </si>
  <si>
    <t>633_57</t>
  </si>
  <si>
    <t>632_57</t>
  </si>
  <si>
    <t>631_57</t>
  </si>
  <si>
    <t>630_57</t>
  </si>
  <si>
    <t>629_57</t>
  </si>
  <si>
    <t>628_57</t>
  </si>
  <si>
    <t>627_57</t>
  </si>
  <si>
    <t>626_57</t>
  </si>
  <si>
    <t>625_57</t>
  </si>
  <si>
    <t>624_57</t>
  </si>
  <si>
    <t>623_57</t>
  </si>
  <si>
    <t>622_57</t>
  </si>
  <si>
    <t>621_57</t>
  </si>
  <si>
    <t>620_57</t>
  </si>
  <si>
    <t>619_57</t>
  </si>
  <si>
    <t>618_57</t>
  </si>
  <si>
    <t>616_57</t>
  </si>
  <si>
    <t>615_57</t>
  </si>
  <si>
    <t>614_57</t>
  </si>
  <si>
    <t>613_57</t>
  </si>
  <si>
    <t>612_57</t>
  </si>
  <si>
    <t>611_57</t>
  </si>
  <si>
    <t>610_57</t>
  </si>
  <si>
    <t>609_57</t>
  </si>
  <si>
    <t>608_57</t>
  </si>
  <si>
    <t>639_58</t>
  </si>
  <si>
    <t>638_58</t>
  </si>
  <si>
    <t>637_58</t>
  </si>
  <si>
    <t>636_58</t>
  </si>
  <si>
    <t>635_58</t>
  </si>
  <si>
    <t>634_58</t>
  </si>
  <si>
    <t>633_58</t>
  </si>
  <si>
    <t>632_58</t>
  </si>
  <si>
    <t>631_58</t>
  </si>
  <si>
    <t>628_58</t>
  </si>
  <si>
    <t>627_58</t>
  </si>
  <si>
    <t>626_58</t>
  </si>
  <si>
    <t>625_58</t>
  </si>
  <si>
    <t>624_58</t>
  </si>
  <si>
    <t>623_58</t>
  </si>
  <si>
    <t>622_58</t>
  </si>
  <si>
    <t>620_58</t>
  </si>
  <si>
    <t>618_58</t>
  </si>
  <si>
    <t>617_58</t>
  </si>
  <si>
    <t>616_58</t>
  </si>
  <si>
    <t>615_58</t>
  </si>
  <si>
    <t>614_58</t>
  </si>
  <si>
    <t>613_58</t>
  </si>
  <si>
    <t>612_58</t>
  </si>
  <si>
    <t>611_58</t>
  </si>
  <si>
    <t>610_58</t>
  </si>
  <si>
    <t>609_58</t>
  </si>
  <si>
    <t>608_58</t>
  </si>
  <si>
    <t>639_59</t>
  </si>
  <si>
    <t>637_59</t>
  </si>
  <si>
    <t>636_59</t>
  </si>
  <si>
    <t>635_59</t>
  </si>
  <si>
    <t>634_59</t>
  </si>
  <si>
    <t>626_59</t>
  </si>
  <si>
    <t>625_59</t>
  </si>
  <si>
    <t>624_59</t>
  </si>
  <si>
    <t>623_59</t>
  </si>
  <si>
    <t>622_59</t>
  </si>
  <si>
    <t>621_59</t>
  </si>
  <si>
    <t>620_59</t>
  </si>
  <si>
    <t>619_59</t>
  </si>
  <si>
    <t>618_59</t>
  </si>
  <si>
    <t>615_59</t>
  </si>
  <si>
    <t>614_59</t>
  </si>
  <si>
    <t>613_59</t>
  </si>
  <si>
    <t>612_59</t>
  </si>
  <si>
    <t>611_59</t>
  </si>
  <si>
    <t>610_59</t>
  </si>
  <si>
    <t>609_59</t>
  </si>
  <si>
    <t>608_59</t>
  </si>
  <si>
    <t>607_59</t>
  </si>
  <si>
    <t>626_60</t>
  </si>
  <si>
    <t>625_60</t>
  </si>
  <si>
    <t>624_60</t>
  </si>
  <si>
    <t>623_60</t>
  </si>
  <si>
    <t>622_60</t>
  </si>
  <si>
    <t>619_60</t>
  </si>
  <si>
    <t>618_60</t>
  </si>
  <si>
    <t>616_60</t>
  </si>
  <si>
    <t>615_60</t>
  </si>
  <si>
    <t>614_60</t>
  </si>
  <si>
    <t>613_60</t>
  </si>
  <si>
    <t>612_60</t>
  </si>
  <si>
    <t>611_60</t>
  </si>
  <si>
    <t>610_60</t>
  </si>
  <si>
    <t>609_60</t>
  </si>
  <si>
    <t>608_60</t>
  </si>
  <si>
    <t>607_60</t>
  </si>
  <si>
    <t>606_60</t>
  </si>
  <si>
    <t>635_61</t>
  </si>
  <si>
    <t>634_61</t>
  </si>
  <si>
    <t>626_61</t>
  </si>
  <si>
    <t>625_61</t>
  </si>
  <si>
    <t>624_61</t>
  </si>
  <si>
    <t>623_61</t>
  </si>
  <si>
    <t>615_61</t>
  </si>
  <si>
    <t>614_61</t>
  </si>
  <si>
    <t>613_61</t>
  </si>
  <si>
    <t>612_61</t>
  </si>
  <si>
    <t>611_61</t>
  </si>
  <si>
    <t>610_61</t>
  </si>
  <si>
    <t>609_61</t>
  </si>
  <si>
    <t>608_61</t>
  </si>
  <si>
    <t>607_61</t>
  </si>
  <si>
    <t>606_61</t>
  </si>
  <si>
    <t>635_62</t>
  </si>
  <si>
    <t>634_62</t>
  </si>
  <si>
    <t>617_62</t>
  </si>
  <si>
    <t>611_62</t>
  </si>
  <si>
    <t>610_62</t>
  </si>
  <si>
    <t>609_62</t>
  </si>
  <si>
    <t>608_62</t>
  </si>
  <si>
    <t>607_62</t>
  </si>
  <si>
    <t>619_63</t>
  </si>
  <si>
    <t>617_63</t>
  </si>
  <si>
    <t>616_63</t>
  </si>
  <si>
    <t>615_63</t>
  </si>
  <si>
    <t>614_63</t>
  </si>
  <si>
    <t>613_63</t>
  </si>
  <si>
    <t>612_63</t>
  </si>
  <si>
    <t>611_63</t>
  </si>
  <si>
    <t>609_63</t>
  </si>
  <si>
    <t>608_63</t>
  </si>
  <si>
    <t>607_63</t>
  </si>
  <si>
    <t>606_63</t>
  </si>
  <si>
    <t>620_64</t>
  </si>
  <si>
    <t>619_64</t>
  </si>
  <si>
    <t>618_64</t>
  </si>
  <si>
    <t>617_64</t>
  </si>
  <si>
    <t>616_64</t>
  </si>
  <si>
    <t>615_64</t>
  </si>
  <si>
    <t>614_64</t>
  </si>
  <si>
    <t>613_64</t>
  </si>
  <si>
    <t>612_64</t>
  </si>
  <si>
    <t>609_64</t>
  </si>
  <si>
    <t>608_64</t>
  </si>
  <si>
    <t>607_64</t>
  </si>
  <si>
    <t>606_64</t>
  </si>
  <si>
    <t>628_65</t>
  </si>
  <si>
    <t>620_65</t>
  </si>
  <si>
    <t>619_65</t>
  </si>
  <si>
    <t>618_65</t>
  </si>
  <si>
    <t>617_65</t>
  </si>
  <si>
    <t>616_65</t>
  </si>
  <si>
    <t>615_65</t>
  </si>
  <si>
    <t>614_65</t>
  </si>
  <si>
    <t>613_65</t>
  </si>
  <si>
    <t>612_65</t>
  </si>
  <si>
    <t>611_65</t>
  </si>
  <si>
    <t>610_65</t>
  </si>
  <si>
    <t>609_65</t>
  </si>
  <si>
    <t>608_65</t>
  </si>
  <si>
    <t>607_65</t>
  </si>
  <si>
    <t>606_65</t>
  </si>
  <si>
    <t>605_65</t>
  </si>
  <si>
    <t>629_66</t>
  </si>
  <si>
    <t>628_66</t>
  </si>
  <si>
    <t>620_66</t>
  </si>
  <si>
    <t>619_66</t>
  </si>
  <si>
    <t>618_66</t>
  </si>
  <si>
    <t>617_66</t>
  </si>
  <si>
    <t>616_66</t>
  </si>
  <si>
    <t>615_66</t>
  </si>
  <si>
    <t>614_66</t>
  </si>
  <si>
    <t>613_66</t>
  </si>
  <si>
    <t>612_66</t>
  </si>
  <si>
    <t>611_66</t>
  </si>
  <si>
    <t>610_66</t>
  </si>
  <si>
    <t>609_66</t>
  </si>
  <si>
    <t>608_66</t>
  </si>
  <si>
    <t>607_66</t>
  </si>
  <si>
    <t>606_66</t>
  </si>
  <si>
    <t>605_66</t>
  </si>
  <si>
    <t>620_67</t>
  </si>
  <si>
    <t>619_67</t>
  </si>
  <si>
    <t>618_67</t>
  </si>
  <si>
    <t>617_67</t>
  </si>
  <si>
    <t>616_67</t>
  </si>
  <si>
    <t>615_67</t>
  </si>
  <si>
    <t>614_67</t>
  </si>
  <si>
    <t>613_67</t>
  </si>
  <si>
    <t>612_67</t>
  </si>
  <si>
    <t>611_67</t>
  </si>
  <si>
    <t>610_67</t>
  </si>
  <si>
    <t>609_67</t>
  </si>
  <si>
    <t>608_67</t>
  </si>
  <si>
    <t>607_67</t>
  </si>
  <si>
    <t>606_67</t>
  </si>
  <si>
    <t>621_68</t>
  </si>
  <si>
    <t>620_68</t>
  </si>
  <si>
    <t>619_68</t>
  </si>
  <si>
    <t>618_68</t>
  </si>
  <si>
    <t>617_68</t>
  </si>
  <si>
    <t>616_68</t>
  </si>
  <si>
    <t>615_68</t>
  </si>
  <si>
    <t>614_68</t>
  </si>
  <si>
    <t>613_68</t>
  </si>
  <si>
    <t>612_68</t>
  </si>
  <si>
    <t>611_68</t>
  </si>
  <si>
    <t>610_68</t>
  </si>
  <si>
    <t>609_68</t>
  </si>
  <si>
    <t>608_68</t>
  </si>
  <si>
    <t>607_68</t>
  </si>
  <si>
    <t>606_68</t>
  </si>
  <si>
    <t>605_68</t>
  </si>
  <si>
    <t>622_69</t>
  </si>
  <si>
    <t>621_69</t>
  </si>
  <si>
    <t>620_69</t>
  </si>
  <si>
    <t>619_69</t>
  </si>
  <si>
    <t>618_69</t>
  </si>
  <si>
    <t>617_69</t>
  </si>
  <si>
    <t>616_69</t>
  </si>
  <si>
    <t>615_69</t>
  </si>
  <si>
    <t>614_69</t>
  </si>
  <si>
    <t>613_69</t>
  </si>
  <si>
    <t>612_69</t>
  </si>
  <si>
    <t>611_69</t>
  </si>
  <si>
    <t>610_69</t>
  </si>
  <si>
    <t>609_69</t>
  </si>
  <si>
    <t>608_69</t>
  </si>
  <si>
    <t>607_69</t>
  </si>
  <si>
    <t>606_69</t>
  </si>
  <si>
    <t>605_69</t>
  </si>
  <si>
    <t>622_70</t>
  </si>
  <si>
    <t>621_70</t>
  </si>
  <si>
    <t>620_70</t>
  </si>
  <si>
    <t>619_70</t>
  </si>
  <si>
    <t>618_70</t>
  </si>
  <si>
    <t>617_70</t>
  </si>
  <si>
    <t>616_70</t>
  </si>
  <si>
    <t>615_70</t>
  </si>
  <si>
    <t>614_70</t>
  </si>
  <si>
    <t>613_70</t>
  </si>
  <si>
    <t>612_70</t>
  </si>
  <si>
    <t>611_70</t>
  </si>
  <si>
    <t>610_70</t>
  </si>
  <si>
    <t>609_70</t>
  </si>
  <si>
    <t>608_70</t>
  </si>
  <si>
    <t>622_71</t>
  </si>
  <si>
    <t>621_71</t>
  </si>
  <si>
    <t>620_71</t>
  </si>
  <si>
    <t>619_71</t>
  </si>
  <si>
    <t>618_71</t>
  </si>
  <si>
    <t>617_71</t>
  </si>
  <si>
    <t>616_71</t>
  </si>
  <si>
    <t>614_71</t>
  </si>
  <si>
    <t>613_71</t>
  </si>
  <si>
    <t>612_71</t>
  </si>
  <si>
    <t>610_71</t>
  </si>
  <si>
    <t>609_71</t>
  </si>
  <si>
    <t>621_72</t>
  </si>
  <si>
    <t>620_72</t>
  </si>
  <si>
    <t>619_72</t>
  </si>
  <si>
    <t>618_72</t>
  </si>
  <si>
    <t>617_72</t>
  </si>
  <si>
    <t>616_72</t>
  </si>
  <si>
    <t>610_72</t>
  </si>
  <si>
    <t>609_72</t>
  </si>
  <si>
    <t>617_73</t>
  </si>
  <si>
    <t>616_73</t>
  </si>
  <si>
    <t>614_86</t>
  </si>
  <si>
    <t>613_86</t>
  </si>
  <si>
    <t>612_86</t>
  </si>
  <si>
    <t>611_86</t>
  </si>
  <si>
    <t>613_87</t>
  </si>
  <si>
    <t>612_87</t>
  </si>
  <si>
    <t>611_87</t>
  </si>
  <si>
    <t>613_88</t>
  </si>
  <si>
    <t>612_88</t>
  </si>
  <si>
    <t>611_88</t>
  </si>
  <si>
    <t>614_89</t>
  </si>
  <si>
    <t>612_89</t>
  </si>
  <si>
    <t>611_89</t>
  </si>
  <si>
    <t>list_DMI</t>
  </si>
  <si>
    <t>Sødannelse</t>
  </si>
  <si>
    <t>Gælder både for manuelt beregnet og modelberegnet</t>
  </si>
  <si>
    <t>Se figur 3.1</t>
  </si>
  <si>
    <t>Simplificeret figur 3.4</t>
  </si>
  <si>
    <t>Efterår 2022</t>
  </si>
  <si>
    <t>Opdateret formler for BFI beregning kapitel 3.3 I vejledningen</t>
  </si>
  <si>
    <t>Formel for P tab med oxisk interface opdateret. Vejledningen kapitel 6.2</t>
  </si>
  <si>
    <t>Ny formel for  P tab for søer indsat og nyt faneblad "Søer" inkluderet i regnearket</t>
  </si>
  <si>
    <t>Høst af biomasse før retablering af vådområde eller sø inkluderet i regnearket. Fanebladet "Biomassehøst" indsat</t>
  </si>
  <si>
    <t>Hvis sø indgår i projektet fremgår beregningerne af kolonne AK i fanebladet "Vandgennemstrømning" og det totale tab fra søen kan ses i celle X90</t>
  </si>
  <si>
    <t>Bestemmes via GIS procedure jf. afsnit 3.4 - figur 3.1</t>
  </si>
  <si>
    <t>figur 3.4</t>
  </si>
  <si>
    <t>Opdateret BOKS 1 i kapitel 5.3 hvor PP beregnes. NY opdatert for BFI anvendes</t>
  </si>
  <si>
    <t>Nyt faneblad "DMI" indsat. Ved indtastning af DMI gridnummer/gridnumre hentes nedbør, fordampning, ler_pct, sand_pct, dyrk_pct, befast_pct, georegion, automatisk ind</t>
  </si>
  <si>
    <t>%  kan indtastes</t>
  </si>
  <si>
    <t>BEMÆRK at Ler_procent og befæstet areal i procent kan indtastet i celle M28 og M29 hvis disse værdier afviger fra DMI griddets værdier</t>
  </si>
  <si>
    <r>
      <t xml:space="preserve">Hvis cellen bliver </t>
    </r>
    <r>
      <rPr>
        <b/>
        <sz val="11"/>
        <color rgb="FFFF0000"/>
        <rFont val="Calibri"/>
        <family val="2"/>
        <scheme val="minor"/>
      </rPr>
      <t>rød</t>
    </r>
    <r>
      <rPr>
        <b/>
        <sz val="11"/>
        <color theme="1"/>
        <rFont val="Calibri"/>
        <family val="2"/>
        <scheme val="minor"/>
      </rPr>
      <t xml:space="preserve">  er der forskel på indtastet søareal i celle D4 og summen af prøvefelterne</t>
    </r>
  </si>
  <si>
    <t>Årsafstrømning/netnb</t>
  </si>
  <si>
    <t>Projektområde + direkte oplandsareal</t>
  </si>
  <si>
    <t>Juni 2023</t>
  </si>
  <si>
    <t>Formel for P tab for søer opdateret, nu med sedimentationsled</t>
  </si>
  <si>
    <t>Februar/April 2024</t>
  </si>
  <si>
    <t>Formel tilrettet. Biomassehøst i områder med lavt P-indhold gav fejl i summering af fosfortab.</t>
  </si>
  <si>
    <t>Dette regneark er et støtteværktøj til "Kvantificering af fosfortab fra vådområder og lavvandede søer" version April 2024.</t>
  </si>
  <si>
    <t>Nørbæk</t>
  </si>
  <si>
    <t>Moderat omsat tørv med mellemkornet sand</t>
  </si>
  <si>
    <t>Mellemkornet sand</t>
  </si>
  <si>
    <t>578</t>
  </si>
  <si>
    <t>318</t>
  </si>
  <si>
    <t>249</t>
  </si>
  <si>
    <t>246</t>
  </si>
  <si>
    <t>276</t>
  </si>
  <si>
    <t>503</t>
  </si>
  <si>
    <t>344</t>
  </si>
  <si>
    <t>818</t>
  </si>
  <si>
    <t>506</t>
  </si>
  <si>
    <t>1070</t>
  </si>
  <si>
    <t>712</t>
  </si>
  <si>
    <t>305</t>
  </si>
  <si>
    <t>231</t>
  </si>
  <si>
    <t>166</t>
  </si>
  <si>
    <t>310</t>
  </si>
  <si>
    <t>702</t>
  </si>
  <si>
    <t>351</t>
  </si>
  <si>
    <t>165</t>
  </si>
  <si>
    <t>328</t>
  </si>
  <si>
    <t>287</t>
  </si>
  <si>
    <t>499</t>
  </si>
  <si>
    <t>286</t>
  </si>
  <si>
    <t>474</t>
  </si>
  <si>
    <t>387</t>
  </si>
  <si>
    <t>9130</t>
  </si>
  <si>
    <t>8760</t>
  </si>
  <si>
    <t>25400</t>
  </si>
  <si>
    <t>10100</t>
  </si>
  <si>
    <t>20300</t>
  </si>
  <si>
    <t>23300</t>
  </si>
  <si>
    <t>28600</t>
  </si>
  <si>
    <t>29200</t>
  </si>
  <si>
    <t>23900</t>
  </si>
  <si>
    <t>48600</t>
  </si>
  <si>
    <t>29000</t>
  </si>
  <si>
    <t>6130</t>
  </si>
  <si>
    <t>16900</t>
  </si>
  <si>
    <t>8560</t>
  </si>
  <si>
    <t>8940</t>
  </si>
  <si>
    <t>31700</t>
  </si>
  <si>
    <t>28900</t>
  </si>
  <si>
    <t>4450</t>
  </si>
  <si>
    <t>23400</t>
  </si>
  <si>
    <t>12800</t>
  </si>
  <si>
    <t>18800</t>
  </si>
  <si>
    <t>10500</t>
  </si>
  <si>
    <t>9110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</si>
</sst>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62"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11"/>
      <color indexed="63"/>
      <name val="Calibri"/>
      <family val="2"/>
    </font>
    <font>
      <vertAlign val="superscript"/>
      <sz val="11"/>
      <color indexed="63"/>
      <name val="Calibri"/>
      <family val="2"/>
    </font>
    <font>
      <sz val="10"/>
      <color indexed="56"/>
      <name val="Calibri"/>
      <family val="2"/>
    </font>
    <font>
      <b/>
      <sz val="10"/>
      <color indexed="56"/>
      <name val="Calibri"/>
      <family val="2"/>
    </font>
    <font>
      <vertAlign val="superscript"/>
      <sz val="10"/>
      <color indexed="56"/>
      <name val="Calibri"/>
      <family val="2"/>
    </font>
    <font>
      <sz val="10"/>
      <color indexed="63"/>
      <name val="Calibri"/>
      <family val="2"/>
    </font>
    <font>
      <b/>
      <vertAlign val="subscript"/>
      <sz val="10"/>
      <color indexed="56"/>
      <name val="Calibri"/>
      <family val="2"/>
    </font>
    <font>
      <b/>
      <vertAlign val="superscript"/>
      <sz val="10"/>
      <color indexed="56"/>
      <name val="Calibri"/>
      <family val="2"/>
    </font>
    <font>
      <b/>
      <sz val="10"/>
      <color indexed="63"/>
      <name val="Calibri"/>
      <family val="2"/>
    </font>
    <font>
      <b/>
      <vertAlign val="superscript"/>
      <sz val="10"/>
      <color indexed="63"/>
      <name val="Calibri"/>
      <family val="2"/>
    </font>
    <font>
      <b/>
      <vertAlign val="subscript"/>
      <sz val="10"/>
      <color indexed="63"/>
      <name val="Calibri"/>
      <family val="2"/>
    </font>
    <font>
      <vertAlign val="superscript"/>
      <sz val="10"/>
      <color indexed="63"/>
      <name val="Calibri"/>
      <family val="2"/>
    </font>
    <font>
      <vertAlign val="subscript"/>
      <sz val="10"/>
      <color indexed="63"/>
      <name val="Calibri"/>
      <family val="2"/>
    </font>
    <font>
      <b/>
      <sz val="26"/>
      <color indexed="9"/>
      <name val="Arial Unicode MS"/>
      <family val="2"/>
    </font>
    <font>
      <b/>
      <vertAlign val="superscript"/>
      <sz val="11"/>
      <color indexed="63"/>
      <name val="Calibri"/>
      <family val="2"/>
    </font>
    <font>
      <sz val="8"/>
      <name val="Verdana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B2137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10"/>
      <color theme="3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2B2137"/>
      <name val="Calibri"/>
      <family val="2"/>
      <scheme val="minor"/>
    </font>
    <font>
      <b/>
      <sz val="10"/>
      <color rgb="FF2B2137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b/>
      <sz val="12"/>
      <color rgb="FF2B2137"/>
      <name val="Calibri"/>
      <family val="2"/>
      <scheme val="minor"/>
    </font>
    <font>
      <b/>
      <i/>
      <sz val="11"/>
      <color rgb="FF2B2137"/>
      <name val="Calibri"/>
      <family val="2"/>
      <scheme val="minor"/>
    </font>
    <font>
      <i/>
      <sz val="10"/>
      <color rgb="FF2B2137"/>
      <name val="Calibri"/>
      <family val="2"/>
      <scheme val="minor"/>
    </font>
    <font>
      <b/>
      <sz val="11"/>
      <color rgb="FF2B2137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vertAlign val="subscript"/>
      <sz val="10"/>
      <color rgb="FF2B2137"/>
      <name val="Calibri"/>
      <family val="2"/>
      <scheme val="minor"/>
    </font>
    <font>
      <vertAlign val="superscript"/>
      <sz val="10"/>
      <color rgb="FF2B2137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vertAlign val="subscript"/>
      <sz val="10"/>
      <color theme="3" tint="-0.499984740745262"/>
      <name val="Calibri"/>
      <family val="2"/>
      <scheme val="minor"/>
    </font>
    <font>
      <b/>
      <sz val="14"/>
      <color theme="3" tint="-0.499984740745262"/>
      <name val="Calibri"/>
      <family val="2"/>
      <scheme val="minor"/>
    </font>
    <font>
      <sz val="12"/>
      <color theme="3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rgb="FF000000"/>
      <name val="Calibri"/>
      <family val="2"/>
    </font>
    <font>
      <b/>
      <vertAlign val="superscript"/>
      <sz val="10"/>
      <color theme="1"/>
      <name val="Calibri"/>
      <family val="2"/>
      <scheme val="minor"/>
    </font>
    <font>
      <sz val="10"/>
      <name val="Arial"/>
      <family val="2"/>
    </font>
    <font>
      <b/>
      <sz val="16"/>
      <color theme="3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vertAlign val="subscript"/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0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83B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538DD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theme="3" tint="-0.249977111117893"/>
      </bottom>
      <diagonal/>
    </border>
    <border>
      <left/>
      <right/>
      <top/>
      <bottom style="medium">
        <color rgb="FF2B2137"/>
      </bottom>
      <diagonal/>
    </border>
    <border>
      <left/>
      <right style="thin">
        <color theme="1" tint="0.249977111117893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theme="1" tint="0.249977111117893"/>
      </right>
      <top style="medium">
        <color rgb="FF2B2137"/>
      </top>
      <bottom style="medium">
        <color indexed="64"/>
      </bottom>
      <diagonal/>
    </border>
    <border>
      <left style="thin">
        <color theme="1" tint="0.249977111117893"/>
      </left>
      <right/>
      <top style="medium">
        <color rgb="FF2B2137"/>
      </top>
      <bottom style="medium">
        <color indexed="64"/>
      </bottom>
      <diagonal/>
    </border>
    <border>
      <left/>
      <right/>
      <top style="medium">
        <color rgb="FF2B2137"/>
      </top>
      <bottom style="medium">
        <color indexed="64"/>
      </bottom>
      <diagonal/>
    </border>
    <border>
      <left style="thin">
        <color theme="1" tint="0.249977111117893"/>
      </left>
      <right style="thin">
        <color theme="1" tint="0.249977111117893"/>
      </right>
      <top style="medium">
        <color rgb="FF2B2137"/>
      </top>
      <bottom style="medium">
        <color indexed="64"/>
      </bottom>
      <diagonal/>
    </border>
    <border>
      <left style="thin">
        <color theme="1" tint="0.249977111117893"/>
      </left>
      <right/>
      <top/>
      <bottom style="medium">
        <color rgb="FF2B2137"/>
      </bottom>
      <diagonal/>
    </border>
    <border>
      <left/>
      <right style="thin">
        <color theme="1" tint="0.249977111117893"/>
      </right>
      <top/>
      <bottom style="medium">
        <color rgb="FF2B2137"/>
      </bottom>
      <diagonal/>
    </border>
    <border>
      <left style="thin">
        <color theme="1" tint="0.249977111117893"/>
      </left>
      <right style="thin">
        <color theme="1" tint="0.249977111117893"/>
      </right>
      <top/>
      <bottom/>
      <diagonal/>
    </border>
    <border>
      <left style="thin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3" tint="-0.249977111117893"/>
      </top>
      <bottom style="medium">
        <color indexed="64"/>
      </bottom>
      <diagonal/>
    </border>
    <border>
      <left/>
      <right style="thin">
        <color theme="1" tint="0.249977111117893"/>
      </right>
      <top style="medium">
        <color theme="3" tint="-0.249977111117893"/>
      </top>
      <bottom style="medium">
        <color indexed="64"/>
      </bottom>
      <diagonal/>
    </border>
    <border>
      <left style="thin">
        <color theme="1" tint="0.249977111117893"/>
      </left>
      <right/>
      <top style="medium">
        <color theme="3" tint="-0.249977111117893"/>
      </top>
      <bottom style="medium">
        <color indexed="64"/>
      </bottom>
      <diagonal/>
    </border>
    <border>
      <left style="thin">
        <color theme="1" tint="0.249977111117893"/>
      </left>
      <right style="thin">
        <color theme="1" tint="0.249977111117893"/>
      </right>
      <top style="medium">
        <color theme="3" tint="-0.249977111117893"/>
      </top>
      <bottom style="medium">
        <color indexed="64"/>
      </bottom>
      <diagonal/>
    </border>
    <border>
      <left style="thin">
        <color theme="1" tint="0.249977111117893"/>
      </left>
      <right style="thin">
        <color indexed="64"/>
      </right>
      <top style="medium">
        <color theme="3" tint="-0.249977111117893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1" tint="0.249977111117893"/>
      </right>
      <top style="medium">
        <color indexed="64"/>
      </top>
      <bottom style="medium">
        <color indexed="64"/>
      </bottom>
      <diagonal/>
    </border>
    <border>
      <left style="thin">
        <color theme="1" tint="0.249977111117893"/>
      </left>
      <right/>
      <top style="medium">
        <color indexed="64"/>
      </top>
      <bottom style="medium">
        <color indexed="64"/>
      </bottom>
      <diagonal/>
    </border>
    <border>
      <left style="thin">
        <color theme="1" tint="0.249977111117893"/>
      </left>
      <right style="thin">
        <color theme="1" tint="0.249977111117893"/>
      </right>
      <top style="medium">
        <color indexed="64"/>
      </top>
      <bottom style="medium">
        <color indexed="64"/>
      </bottom>
      <diagonal/>
    </border>
    <border>
      <left style="thin">
        <color theme="1" tint="0.249977111117893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B050"/>
      </left>
      <right/>
      <top/>
      <bottom/>
      <diagonal/>
    </border>
    <border>
      <left style="thin">
        <color rgb="FF00B050"/>
      </left>
      <right/>
      <top/>
      <bottom style="medium">
        <color indexed="64"/>
      </bottom>
      <diagonal/>
    </border>
    <border>
      <left style="thin">
        <color rgb="FF00B05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B050"/>
      </right>
      <top/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rgb="FF00B050"/>
      </right>
      <top/>
      <bottom style="medium">
        <color indexed="64"/>
      </bottom>
      <diagonal/>
    </border>
    <border>
      <left/>
      <right style="thin">
        <color rgb="FF00B050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20" fillId="2" borderId="0" xfId="0" applyFont="1" applyFill="1"/>
    <xf numFmtId="0" fontId="21" fillId="2" borderId="0" xfId="0" applyFont="1" applyFill="1"/>
    <xf numFmtId="0" fontId="0" fillId="3" borderId="0" xfId="0" applyFill="1"/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0" fillId="4" borderId="0" xfId="0" applyFill="1"/>
    <xf numFmtId="0" fontId="22" fillId="4" borderId="0" xfId="0" applyFont="1" applyFill="1"/>
    <xf numFmtId="0" fontId="23" fillId="4" borderId="0" xfId="0" applyFont="1" applyFill="1"/>
    <xf numFmtId="0" fontId="24" fillId="4" borderId="0" xfId="0" applyFont="1" applyFill="1"/>
    <xf numFmtId="0" fontId="25" fillId="4" borderId="0" xfId="0" applyFont="1" applyFill="1"/>
    <xf numFmtId="0" fontId="25" fillId="4" borderId="0" xfId="0" applyFont="1" applyFill="1" applyAlignment="1">
      <alignment horizontal="center"/>
    </xf>
    <xf numFmtId="0" fontId="26" fillId="4" borderId="0" xfId="0" applyFont="1" applyFill="1"/>
    <xf numFmtId="0" fontId="27" fillId="4" borderId="0" xfId="0" applyFont="1" applyFill="1" applyAlignment="1">
      <alignment horizontal="center"/>
    </xf>
    <xf numFmtId="0" fontId="28" fillId="4" borderId="0" xfId="0" applyFont="1" applyFill="1"/>
    <xf numFmtId="0" fontId="0" fillId="5" borderId="0" xfId="0" applyFill="1" applyAlignment="1">
      <alignment vertical="center"/>
    </xf>
    <xf numFmtId="0" fontId="0" fillId="5" borderId="0" xfId="0" applyFill="1"/>
    <xf numFmtId="0" fontId="29" fillId="5" borderId="0" xfId="0" applyFont="1" applyFill="1" applyAlignment="1">
      <alignment vertical="center"/>
    </xf>
    <xf numFmtId="0" fontId="24" fillId="4" borderId="0" xfId="0" applyFont="1" applyFill="1" applyAlignment="1">
      <alignment horizontal="center" wrapText="1"/>
    </xf>
    <xf numFmtId="0" fontId="18" fillId="4" borderId="0" xfId="0" applyFont="1" applyFill="1"/>
    <xf numFmtId="0" fontId="0" fillId="2" borderId="0" xfId="0" applyFill="1"/>
    <xf numFmtId="0" fontId="30" fillId="2" borderId="0" xfId="0" applyFont="1" applyFill="1"/>
    <xf numFmtId="0" fontId="31" fillId="2" borderId="0" xfId="0" applyFont="1" applyFill="1"/>
    <xf numFmtId="0" fontId="27" fillId="4" borderId="1" xfId="0" applyFont="1" applyFill="1" applyBorder="1" applyAlignment="1">
      <alignment horizontal="center" wrapText="1"/>
    </xf>
    <xf numFmtId="0" fontId="23" fillId="8" borderId="3" xfId="0" applyFont="1" applyFill="1" applyBorder="1"/>
    <xf numFmtId="0" fontId="24" fillId="2" borderId="0" xfId="0" applyFont="1" applyFill="1"/>
    <xf numFmtId="0" fontId="28" fillId="2" borderId="0" xfId="0" applyFont="1" applyFill="1"/>
    <xf numFmtId="0" fontId="28" fillId="2" borderId="0" xfId="0" applyFont="1" applyFill="1" applyAlignment="1">
      <alignment horizontal="center"/>
    </xf>
    <xf numFmtId="0" fontId="25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6" fillId="2" borderId="0" xfId="0" applyFont="1" applyFill="1"/>
    <xf numFmtId="0" fontId="37" fillId="2" borderId="0" xfId="0" applyFont="1" applyFill="1"/>
    <xf numFmtId="0" fontId="31" fillId="2" borderId="0" xfId="0" applyFont="1" applyFill="1" applyAlignment="1">
      <alignment vertical="center"/>
    </xf>
    <xf numFmtId="0" fontId="0" fillId="8" borderId="0" xfId="0" applyFill="1"/>
    <xf numFmtId="0" fontId="0" fillId="8" borderId="0" xfId="0" quotePrefix="1" applyFill="1"/>
    <xf numFmtId="0" fontId="21" fillId="8" borderId="0" xfId="0" applyFont="1" applyFill="1"/>
    <xf numFmtId="0" fontId="27" fillId="4" borderId="3" xfId="0" applyFont="1" applyFill="1" applyBorder="1"/>
    <xf numFmtId="0" fontId="27" fillId="4" borderId="3" xfId="0" applyFont="1" applyFill="1" applyBorder="1" applyAlignment="1">
      <alignment wrapText="1"/>
    </xf>
    <xf numFmtId="0" fontId="27" fillId="4" borderId="0" xfId="0" applyFont="1" applyFill="1" applyAlignment="1">
      <alignment wrapText="1"/>
    </xf>
    <xf numFmtId="0" fontId="23" fillId="4" borderId="0" xfId="0" applyFont="1" applyFill="1" applyAlignment="1">
      <alignment vertical="center"/>
    </xf>
    <xf numFmtId="0" fontId="27" fillId="4" borderId="0" xfId="0" applyFont="1" applyFill="1" applyAlignment="1">
      <alignment horizontal="center" vertical="center"/>
    </xf>
    <xf numFmtId="0" fontId="0" fillId="4" borderId="0" xfId="0" applyFill="1" applyAlignment="1">
      <alignment vertical="center"/>
    </xf>
    <xf numFmtId="0" fontId="24" fillId="4" borderId="0" xfId="0" applyFont="1" applyFill="1" applyAlignment="1">
      <alignment vertical="center"/>
    </xf>
    <xf numFmtId="0" fontId="19" fillId="5" borderId="0" xfId="0" applyFont="1" applyFill="1"/>
    <xf numFmtId="0" fontId="23" fillId="8" borderId="0" xfId="0" applyFont="1" applyFill="1" applyProtection="1">
      <protection locked="0"/>
    </xf>
    <xf numFmtId="0" fontId="31" fillId="8" borderId="0" xfId="0" applyFont="1" applyFill="1" applyProtection="1">
      <protection locked="0"/>
    </xf>
    <xf numFmtId="2" fontId="23" fillId="4" borderId="0" xfId="0" applyNumberFormat="1" applyFont="1" applyFill="1"/>
    <xf numFmtId="0" fontId="38" fillId="4" borderId="0" xfId="0" applyFont="1" applyFill="1" applyAlignment="1">
      <alignment wrapText="1"/>
    </xf>
    <xf numFmtId="1" fontId="31" fillId="7" borderId="0" xfId="0" applyNumberFormat="1" applyFont="1" applyFill="1"/>
    <xf numFmtId="0" fontId="20" fillId="3" borderId="0" xfId="0" applyFont="1" applyFill="1" applyAlignment="1">
      <alignment vertical="center"/>
    </xf>
    <xf numFmtId="0" fontId="19" fillId="9" borderId="0" xfId="0" applyFont="1" applyFill="1"/>
    <xf numFmtId="0" fontId="18" fillId="9" borderId="0" xfId="0" applyFont="1" applyFill="1"/>
    <xf numFmtId="0" fontId="39" fillId="2" borderId="0" xfId="0" applyFont="1" applyFill="1" applyAlignment="1">
      <alignment vertical="center"/>
    </xf>
    <xf numFmtId="0" fontId="18" fillId="3" borderId="0" xfId="0" applyFont="1" applyFill="1"/>
    <xf numFmtId="0" fontId="32" fillId="2" borderId="0" xfId="0" applyFont="1" applyFill="1"/>
    <xf numFmtId="0" fontId="32" fillId="2" borderId="0" xfId="0" applyFont="1" applyFill="1" applyAlignment="1">
      <alignment vertical="center"/>
    </xf>
    <xf numFmtId="165" fontId="31" fillId="7" borderId="0" xfId="0" applyNumberFormat="1" applyFont="1" applyFill="1"/>
    <xf numFmtId="0" fontId="42" fillId="4" borderId="0" xfId="0" applyFont="1" applyFill="1"/>
    <xf numFmtId="0" fontId="43" fillId="10" borderId="0" xfId="0" applyFont="1" applyFill="1" applyProtection="1">
      <protection locked="0"/>
    </xf>
    <xf numFmtId="0" fontId="19" fillId="11" borderId="0" xfId="0" applyFont="1" applyFill="1"/>
    <xf numFmtId="1" fontId="19" fillId="11" borderId="0" xfId="0" applyNumberFormat="1" applyFont="1" applyFill="1"/>
    <xf numFmtId="2" fontId="31" fillId="7" borderId="0" xfId="0" applyNumberFormat="1" applyFont="1" applyFill="1"/>
    <xf numFmtId="0" fontId="23" fillId="4" borderId="0" xfId="0" applyFont="1" applyFill="1" applyAlignment="1">
      <alignment horizontal="left"/>
    </xf>
    <xf numFmtId="165" fontId="19" fillId="5" borderId="0" xfId="0" applyNumberFormat="1" applyFont="1" applyFill="1"/>
    <xf numFmtId="2" fontId="25" fillId="12" borderId="0" xfId="0" applyNumberFormat="1" applyFont="1" applyFill="1"/>
    <xf numFmtId="0" fontId="31" fillId="7" borderId="5" xfId="0" applyFont="1" applyFill="1" applyBorder="1" applyAlignment="1">
      <alignment horizontal="center" wrapText="1"/>
    </xf>
    <xf numFmtId="3" fontId="31" fillId="8" borderId="8" xfId="0" applyNumberFormat="1" applyFont="1" applyFill="1" applyBorder="1" applyAlignment="1" applyProtection="1">
      <alignment horizontal="center" wrapText="1"/>
      <protection locked="0"/>
    </xf>
    <xf numFmtId="1" fontId="31" fillId="8" borderId="8" xfId="0" applyNumberFormat="1" applyFont="1" applyFill="1" applyBorder="1" applyAlignment="1" applyProtection="1">
      <alignment horizontal="center" wrapText="1"/>
      <protection locked="0"/>
    </xf>
    <xf numFmtId="165" fontId="31" fillId="7" borderId="8" xfId="0" applyNumberFormat="1" applyFont="1" applyFill="1" applyBorder="1" applyAlignment="1">
      <alignment horizontal="center" wrapText="1"/>
    </xf>
    <xf numFmtId="0" fontId="31" fillId="7" borderId="3" xfId="0" applyFont="1" applyFill="1" applyBorder="1" applyAlignment="1">
      <alignment horizontal="center" wrapText="1"/>
    </xf>
    <xf numFmtId="3" fontId="31" fillId="8" borderId="11" xfId="0" applyNumberFormat="1" applyFont="1" applyFill="1" applyBorder="1" applyAlignment="1" applyProtection="1">
      <alignment horizontal="center" wrapText="1"/>
      <protection locked="0"/>
    </xf>
    <xf numFmtId="1" fontId="31" fillId="8" borderId="11" xfId="0" applyNumberFormat="1" applyFont="1" applyFill="1" applyBorder="1" applyAlignment="1" applyProtection="1">
      <alignment horizontal="center" wrapText="1"/>
      <protection locked="0"/>
    </xf>
    <xf numFmtId="165" fontId="31" fillId="7" borderId="11" xfId="0" applyNumberFormat="1" applyFont="1" applyFill="1" applyBorder="1" applyAlignment="1">
      <alignment horizontal="center" wrapText="1"/>
    </xf>
    <xf numFmtId="49" fontId="0" fillId="0" borderId="0" xfId="0" applyNumberFormat="1"/>
    <xf numFmtId="0" fontId="47" fillId="3" borderId="0" xfId="0" applyFont="1" applyFill="1"/>
    <xf numFmtId="0" fontId="48" fillId="3" borderId="0" xfId="0" applyFont="1" applyFill="1"/>
    <xf numFmtId="0" fontId="47" fillId="0" borderId="0" xfId="0" applyFont="1"/>
    <xf numFmtId="0" fontId="0" fillId="11" borderId="0" xfId="0" applyFill="1"/>
    <xf numFmtId="0" fontId="20" fillId="11" borderId="0" xfId="0" applyFont="1" applyFill="1"/>
    <xf numFmtId="166" fontId="31" fillId="8" borderId="11" xfId="0" applyNumberFormat="1" applyFont="1" applyFill="1" applyBorder="1" applyAlignment="1" applyProtection="1">
      <alignment horizontal="center" wrapText="1"/>
      <protection locked="0"/>
    </xf>
    <xf numFmtId="166" fontId="31" fillId="8" borderId="8" xfId="0" applyNumberFormat="1" applyFont="1" applyFill="1" applyBorder="1" applyAlignment="1" applyProtection="1">
      <alignment horizontal="center" wrapText="1"/>
      <protection locked="0"/>
    </xf>
    <xf numFmtId="0" fontId="18" fillId="3" borderId="0" xfId="0" quotePrefix="1" applyFont="1" applyFill="1"/>
    <xf numFmtId="2" fontId="0" fillId="0" borderId="0" xfId="0" applyNumberFormat="1"/>
    <xf numFmtId="0" fontId="51" fillId="15" borderId="0" xfId="0" applyFont="1" applyFill="1"/>
    <xf numFmtId="0" fontId="0" fillId="15" borderId="0" xfId="0" applyFill="1"/>
    <xf numFmtId="0" fontId="51" fillId="0" borderId="0" xfId="0" applyFont="1" applyProtection="1">
      <protection locked="0"/>
    </xf>
    <xf numFmtId="1" fontId="0" fillId="0" borderId="0" xfId="0" applyNumberFormat="1"/>
    <xf numFmtId="2" fontId="23" fillId="8" borderId="0" xfId="0" applyNumberFormat="1" applyFont="1" applyFill="1" applyProtection="1">
      <protection locked="0"/>
    </xf>
    <xf numFmtId="0" fontId="52" fillId="4" borderId="0" xfId="0" applyFont="1" applyFill="1"/>
    <xf numFmtId="1" fontId="26" fillId="8" borderId="0" xfId="0" applyNumberFormat="1" applyFont="1" applyFill="1" applyProtection="1">
      <protection locked="0"/>
    </xf>
    <xf numFmtId="1" fontId="23" fillId="6" borderId="0" xfId="0" applyNumberFormat="1" applyFont="1" applyFill="1"/>
    <xf numFmtId="2" fontId="23" fillId="6" borderId="0" xfId="0" applyNumberFormat="1" applyFont="1" applyFill="1"/>
    <xf numFmtId="3" fontId="23" fillId="6" borderId="0" xfId="0" applyNumberFormat="1" applyFont="1" applyFill="1"/>
    <xf numFmtId="0" fontId="53" fillId="16" borderId="0" xfId="0" applyFont="1" applyFill="1"/>
    <xf numFmtId="0" fontId="54" fillId="4" borderId="0" xfId="0" applyFont="1" applyFill="1"/>
    <xf numFmtId="0" fontId="26" fillId="6" borderId="0" xfId="0" applyFont="1" applyFill="1"/>
    <xf numFmtId="2" fontId="26" fillId="6" borderId="0" xfId="0" applyNumberFormat="1" applyFont="1" applyFill="1"/>
    <xf numFmtId="0" fontId="32" fillId="2" borderId="4" xfId="0" applyFont="1" applyFill="1" applyBorder="1" applyAlignment="1">
      <alignment horizontal="center" wrapText="1"/>
    </xf>
    <xf numFmtId="0" fontId="0" fillId="17" borderId="0" xfId="0" applyFill="1"/>
    <xf numFmtId="0" fontId="47" fillId="17" borderId="0" xfId="0" applyFont="1" applyFill="1"/>
    <xf numFmtId="1" fontId="0" fillId="17" borderId="0" xfId="0" applyNumberFormat="1" applyFill="1"/>
    <xf numFmtId="2" fontId="0" fillId="17" borderId="0" xfId="0" applyNumberFormat="1" applyFill="1"/>
    <xf numFmtId="0" fontId="0" fillId="18" borderId="0" xfId="0" applyFill="1"/>
    <xf numFmtId="0" fontId="26" fillId="3" borderId="0" xfId="0" applyFont="1" applyFill="1"/>
    <xf numFmtId="1" fontId="31" fillId="7" borderId="12" xfId="0" applyNumberFormat="1" applyFont="1" applyFill="1" applyBorder="1" applyAlignment="1">
      <alignment horizontal="center" wrapText="1"/>
    </xf>
    <xf numFmtId="0" fontId="25" fillId="2" borderId="4" xfId="0" applyFont="1" applyFill="1" applyBorder="1" applyAlignment="1">
      <alignment wrapText="1"/>
    </xf>
    <xf numFmtId="0" fontId="25" fillId="11" borderId="4" xfId="0" applyFont="1" applyFill="1" applyBorder="1" applyAlignment="1">
      <alignment wrapText="1"/>
    </xf>
    <xf numFmtId="1" fontId="31" fillId="7" borderId="13" xfId="0" applyNumberFormat="1" applyFont="1" applyFill="1" applyBorder="1" applyAlignment="1">
      <alignment horizontal="center" wrapText="1"/>
    </xf>
    <xf numFmtId="165" fontId="31" fillId="2" borderId="0" xfId="0" applyNumberFormat="1" applyFont="1" applyFill="1"/>
    <xf numFmtId="1" fontId="24" fillId="6" borderId="0" xfId="0" applyNumberFormat="1" applyFont="1" applyFill="1"/>
    <xf numFmtId="0" fontId="23" fillId="8" borderId="15" xfId="0" applyFont="1" applyFill="1" applyBorder="1" applyProtection="1">
      <protection locked="0"/>
    </xf>
    <xf numFmtId="2" fontId="23" fillId="8" borderId="15" xfId="0" applyNumberFormat="1" applyFont="1" applyFill="1" applyBorder="1" applyAlignment="1" applyProtection="1">
      <alignment horizontal="center"/>
      <protection locked="0"/>
    </xf>
    <xf numFmtId="3" fontId="33" fillId="6" borderId="17" xfId="0" applyNumberFormat="1" applyFont="1" applyFill="1" applyBorder="1" applyAlignment="1">
      <alignment horizontal="center"/>
    </xf>
    <xf numFmtId="0" fontId="23" fillId="8" borderId="17" xfId="0" applyFont="1" applyFill="1" applyBorder="1" applyAlignment="1" applyProtection="1">
      <alignment horizontal="right"/>
      <protection locked="0"/>
    </xf>
    <xf numFmtId="0" fontId="23" fillId="8" borderId="17" xfId="0" applyFont="1" applyFill="1" applyBorder="1" applyAlignment="1" applyProtection="1">
      <alignment horizontal="left"/>
      <protection locked="0"/>
    </xf>
    <xf numFmtId="165" fontId="33" fillId="6" borderId="17" xfId="0" applyNumberFormat="1" applyFont="1" applyFill="1" applyBorder="1" applyAlignment="1">
      <alignment horizontal="right"/>
    </xf>
    <xf numFmtId="165" fontId="33" fillId="6" borderId="18" xfId="0" applyNumberFormat="1" applyFont="1" applyFill="1" applyBorder="1" applyAlignment="1">
      <alignment horizontal="right"/>
    </xf>
    <xf numFmtId="1" fontId="33" fillId="6" borderId="14" xfId="0" applyNumberFormat="1" applyFont="1" applyFill="1" applyBorder="1" applyAlignment="1">
      <alignment horizontal="right"/>
    </xf>
    <xf numFmtId="0" fontId="23" fillId="8" borderId="20" xfId="0" applyFont="1" applyFill="1" applyBorder="1" applyProtection="1">
      <protection locked="0"/>
    </xf>
    <xf numFmtId="2" fontId="23" fillId="8" borderId="20" xfId="0" applyNumberFormat="1" applyFont="1" applyFill="1" applyBorder="1" applyAlignment="1" applyProtection="1">
      <alignment horizontal="center"/>
      <protection locked="0"/>
    </xf>
    <xf numFmtId="3" fontId="33" fillId="6" borderId="22" xfId="0" applyNumberFormat="1" applyFont="1" applyFill="1" applyBorder="1" applyAlignment="1">
      <alignment horizontal="center"/>
    </xf>
    <xf numFmtId="0" fontId="23" fillId="8" borderId="22" xfId="0" applyFont="1" applyFill="1" applyBorder="1" applyAlignment="1" applyProtection="1">
      <alignment horizontal="right"/>
      <protection locked="0"/>
    </xf>
    <xf numFmtId="0" fontId="23" fillId="8" borderId="22" xfId="0" applyFont="1" applyFill="1" applyBorder="1" applyAlignment="1" applyProtection="1">
      <alignment horizontal="left"/>
      <protection locked="0"/>
    </xf>
    <xf numFmtId="165" fontId="33" fillId="6" borderId="22" xfId="0" applyNumberFormat="1" applyFont="1" applyFill="1" applyBorder="1" applyAlignment="1">
      <alignment horizontal="right"/>
    </xf>
    <xf numFmtId="165" fontId="33" fillId="6" borderId="23" xfId="0" applyNumberFormat="1" applyFont="1" applyFill="1" applyBorder="1" applyAlignment="1">
      <alignment horizontal="right"/>
    </xf>
    <xf numFmtId="1" fontId="33" fillId="6" borderId="19" xfId="0" applyNumberFormat="1" applyFont="1" applyFill="1" applyBorder="1" applyAlignment="1">
      <alignment horizontal="right"/>
    </xf>
    <xf numFmtId="165" fontId="24" fillId="14" borderId="12" xfId="0" applyNumberFormat="1" applyFont="1" applyFill="1" applyBorder="1"/>
    <xf numFmtId="2" fontId="0" fillId="2" borderId="0" xfId="0" applyNumberFormat="1" applyFill="1"/>
    <xf numFmtId="165" fontId="26" fillId="0" borderId="0" xfId="0" applyNumberFormat="1" applyFont="1"/>
    <xf numFmtId="0" fontId="0" fillId="19" borderId="0" xfId="0" applyFill="1"/>
    <xf numFmtId="0" fontId="20" fillId="19" borderId="0" xfId="0" applyFont="1" applyFill="1"/>
    <xf numFmtId="0" fontId="57" fillId="19" borderId="0" xfId="0" applyFont="1" applyFill="1"/>
    <xf numFmtId="0" fontId="23" fillId="20" borderId="0" xfId="0" applyFont="1" applyFill="1"/>
    <xf numFmtId="0" fontId="28" fillId="4" borderId="0" xfId="0" applyFont="1" applyFill="1" applyAlignment="1">
      <alignment horizontal="left"/>
    </xf>
    <xf numFmtId="0" fontId="27" fillId="20" borderId="0" xfId="0" applyFont="1" applyFill="1" applyAlignment="1">
      <alignment horizontal="left"/>
    </xf>
    <xf numFmtId="0" fontId="27" fillId="13" borderId="0" xfId="0" applyFont="1" applyFill="1" applyAlignment="1">
      <alignment horizontal="center"/>
    </xf>
    <xf numFmtId="0" fontId="27" fillId="13" borderId="0" xfId="0" applyFont="1" applyFill="1" applyAlignment="1">
      <alignment horizontal="left"/>
    </xf>
    <xf numFmtId="0" fontId="59" fillId="13" borderId="0" xfId="0" applyFont="1" applyFill="1" applyAlignment="1">
      <alignment horizontal="center"/>
    </xf>
    <xf numFmtId="0" fontId="58" fillId="13" borderId="0" xfId="0" applyFont="1" applyFill="1"/>
    <xf numFmtId="0" fontId="58" fillId="17" borderId="0" xfId="0" applyFont="1" applyFill="1"/>
    <xf numFmtId="0" fontId="27" fillId="20" borderId="0" xfId="0" applyFont="1" applyFill="1"/>
    <xf numFmtId="0" fontId="0" fillId="3" borderId="24" xfId="0" applyFill="1" applyBorder="1"/>
    <xf numFmtId="0" fontId="47" fillId="3" borderId="24" xfId="0" applyFont="1" applyFill="1" applyBorder="1"/>
    <xf numFmtId="0" fontId="0" fillId="3" borderId="24" xfId="0" applyFill="1" applyBorder="1" applyAlignment="1">
      <alignment vertical="center"/>
    </xf>
    <xf numFmtId="0" fontId="0" fillId="5" borderId="24" xfId="0" applyFill="1" applyBorder="1"/>
    <xf numFmtId="0" fontId="29" fillId="5" borderId="24" xfId="0" applyFont="1" applyFill="1" applyBorder="1" applyAlignment="1">
      <alignment vertical="center"/>
    </xf>
    <xf numFmtId="0" fontId="0" fillId="2" borderId="24" xfId="0" applyFill="1" applyBorder="1"/>
    <xf numFmtId="0" fontId="32" fillId="2" borderId="25" xfId="0" applyFont="1" applyFill="1" applyBorder="1" applyAlignment="1">
      <alignment horizontal="center" wrapText="1"/>
    </xf>
    <xf numFmtId="1" fontId="31" fillId="7" borderId="26" xfId="0" applyNumberFormat="1" applyFont="1" applyFill="1" applyBorder="1" applyAlignment="1">
      <alignment horizontal="center" wrapText="1"/>
    </xf>
    <xf numFmtId="1" fontId="31" fillId="2" borderId="24" xfId="0" applyNumberFormat="1" applyFont="1" applyFill="1" applyBorder="1"/>
    <xf numFmtId="0" fontId="24" fillId="2" borderId="24" xfId="0" applyFont="1" applyFill="1" applyBorder="1"/>
    <xf numFmtId="0" fontId="25" fillId="2" borderId="24" xfId="0" applyFont="1" applyFill="1" applyBorder="1"/>
    <xf numFmtId="0" fontId="31" fillId="2" borderId="24" xfId="0" applyFont="1" applyFill="1" applyBorder="1"/>
    <xf numFmtId="0" fontId="31" fillId="2" borderId="24" xfId="0" applyFont="1" applyFill="1" applyBorder="1" applyAlignment="1">
      <alignment vertical="center"/>
    </xf>
    <xf numFmtId="166" fontId="24" fillId="14" borderId="28" xfId="0" applyNumberFormat="1" applyFont="1" applyFill="1" applyBorder="1"/>
    <xf numFmtId="0" fontId="0" fillId="3" borderId="27" xfId="0" applyFill="1" applyBorder="1"/>
    <xf numFmtId="0" fontId="47" fillId="3" borderId="27" xfId="0" applyFont="1" applyFill="1" applyBorder="1"/>
    <xf numFmtId="0" fontId="0" fillId="3" borderId="27" xfId="0" applyFill="1" applyBorder="1" applyAlignment="1">
      <alignment vertical="center"/>
    </xf>
    <xf numFmtId="0" fontId="0" fillId="5" borderId="27" xfId="0" applyFill="1" applyBorder="1"/>
    <xf numFmtId="0" fontId="29" fillId="5" borderId="27" xfId="0" applyFont="1" applyFill="1" applyBorder="1" applyAlignment="1">
      <alignment vertical="center"/>
    </xf>
    <xf numFmtId="0" fontId="0" fillId="2" borderId="27" xfId="0" applyFill="1" applyBorder="1"/>
    <xf numFmtId="0" fontId="20" fillId="2" borderId="27" xfId="0" applyFont="1" applyFill="1" applyBorder="1" applyAlignment="1">
      <alignment horizontal="center"/>
    </xf>
    <xf numFmtId="0" fontId="32" fillId="2" borderId="29" xfId="0" applyFont="1" applyFill="1" applyBorder="1" applyAlignment="1">
      <alignment horizontal="center" wrapText="1"/>
    </xf>
    <xf numFmtId="165" fontId="31" fillId="7" borderId="30" xfId="0" applyNumberFormat="1" applyFont="1" applyFill="1" applyBorder="1" applyAlignment="1">
      <alignment horizontal="center" wrapText="1"/>
    </xf>
    <xf numFmtId="1" fontId="31" fillId="2" borderId="27" xfId="0" applyNumberFormat="1" applyFont="1" applyFill="1" applyBorder="1"/>
    <xf numFmtId="0" fontId="24" fillId="2" borderId="27" xfId="0" applyFont="1" applyFill="1" applyBorder="1"/>
    <xf numFmtId="0" fontId="25" fillId="2" borderId="27" xfId="0" applyFont="1" applyFill="1" applyBorder="1"/>
    <xf numFmtId="0" fontId="31" fillId="2" borderId="27" xfId="0" applyFont="1" applyFill="1" applyBorder="1"/>
    <xf numFmtId="0" fontId="31" fillId="2" borderId="27" xfId="0" applyFont="1" applyFill="1" applyBorder="1" applyAlignment="1">
      <alignment vertical="center"/>
    </xf>
    <xf numFmtId="0" fontId="20" fillId="2" borderId="24" xfId="0" applyFont="1" applyFill="1" applyBorder="1"/>
    <xf numFmtId="0" fontId="51" fillId="0" borderId="31" xfId="0" applyFont="1" applyBorder="1" applyProtection="1">
      <protection locked="0"/>
    </xf>
    <xf numFmtId="0" fontId="26" fillId="0" borderId="0" xfId="0" applyFont="1" applyProtection="1">
      <protection locked="0"/>
    </xf>
    <xf numFmtId="0" fontId="33" fillId="8" borderId="21" xfId="0" applyFont="1" applyFill="1" applyBorder="1" applyAlignment="1" applyProtection="1">
      <alignment horizontal="center"/>
      <protection locked="0"/>
    </xf>
    <xf numFmtId="0" fontId="33" fillId="8" borderId="20" xfId="0" applyFont="1" applyFill="1" applyBorder="1" applyAlignment="1" applyProtection="1">
      <alignment horizontal="center"/>
      <protection locked="0"/>
    </xf>
    <xf numFmtId="164" fontId="31" fillId="8" borderId="6" xfId="0" applyNumberFormat="1" applyFont="1" applyFill="1" applyBorder="1" applyAlignment="1" applyProtection="1">
      <alignment horizontal="center" wrapText="1"/>
      <protection locked="0"/>
    </xf>
    <xf numFmtId="164" fontId="31" fillId="8" borderId="7" xfId="0" applyNumberFormat="1" applyFont="1" applyFill="1" applyBorder="1" applyAlignment="1" applyProtection="1">
      <alignment horizontal="center" wrapText="1"/>
      <protection locked="0"/>
    </xf>
    <xf numFmtId="164" fontId="31" fillId="8" borderId="5" xfId="0" applyNumberFormat="1" applyFont="1" applyFill="1" applyBorder="1" applyAlignment="1" applyProtection="1">
      <alignment horizontal="center" wrapText="1"/>
      <protection locked="0"/>
    </xf>
    <xf numFmtId="166" fontId="31" fillId="8" borderId="6" xfId="0" applyNumberFormat="1" applyFont="1" applyFill="1" applyBorder="1" applyAlignment="1" applyProtection="1">
      <alignment horizontal="center" wrapText="1"/>
      <protection locked="0"/>
    </xf>
    <xf numFmtId="166" fontId="31" fillId="8" borderId="5" xfId="0" applyNumberFormat="1" applyFont="1" applyFill="1" applyBorder="1" applyAlignment="1" applyProtection="1">
      <alignment horizontal="center" wrapText="1"/>
      <protection locked="0"/>
    </xf>
    <xf numFmtId="0" fontId="23" fillId="8" borderId="21" xfId="0" applyFont="1" applyFill="1" applyBorder="1" applyAlignment="1" applyProtection="1">
      <alignment horizontal="center" wrapText="1"/>
      <protection locked="0"/>
    </xf>
    <xf numFmtId="0" fontId="23" fillId="8" borderId="20" xfId="0" applyFont="1" applyFill="1" applyBorder="1" applyAlignment="1" applyProtection="1">
      <alignment horizontal="center" wrapText="1"/>
      <protection locked="0"/>
    </xf>
    <xf numFmtId="0" fontId="23" fillId="8" borderId="19" xfId="0" applyFont="1" applyFill="1" applyBorder="1" applyAlignment="1" applyProtection="1">
      <alignment horizontal="center" wrapText="1"/>
      <protection locked="0"/>
    </xf>
    <xf numFmtId="0" fontId="15" fillId="5" borderId="0" xfId="0" applyFont="1" applyFill="1" applyAlignment="1">
      <alignment horizontal="center" vertical="center"/>
    </xf>
    <xf numFmtId="0" fontId="32" fillId="2" borderId="4" xfId="0" applyFont="1" applyFill="1" applyBorder="1" applyAlignment="1">
      <alignment horizontal="center" wrapText="1"/>
    </xf>
    <xf numFmtId="0" fontId="25" fillId="4" borderId="0" xfId="0" applyFont="1" applyFill="1" applyAlignment="1">
      <alignment horizontal="left" wrapText="1"/>
    </xf>
    <xf numFmtId="0" fontId="27" fillId="4" borderId="0" xfId="0" applyFont="1" applyFill="1" applyAlignment="1">
      <alignment horizontal="left" wrapText="1"/>
    </xf>
    <xf numFmtId="0" fontId="28" fillId="4" borderId="0" xfId="0" applyFont="1" applyFill="1" applyAlignment="1">
      <alignment horizontal="center" wrapText="1"/>
    </xf>
    <xf numFmtId="1" fontId="24" fillId="7" borderId="0" xfId="0" applyNumberFormat="1" applyFont="1" applyFill="1" applyAlignment="1">
      <alignment horizontal="center"/>
    </xf>
    <xf numFmtId="164" fontId="31" fillId="8" borderId="9" xfId="0" applyNumberFormat="1" applyFont="1" applyFill="1" applyBorder="1" applyAlignment="1" applyProtection="1">
      <alignment horizontal="center" wrapText="1"/>
      <protection locked="0"/>
    </xf>
    <xf numFmtId="164" fontId="31" fillId="8" borderId="2" xfId="0" applyNumberFormat="1" applyFont="1" applyFill="1" applyBorder="1" applyAlignment="1" applyProtection="1">
      <alignment horizontal="center" wrapText="1"/>
      <protection locked="0"/>
    </xf>
    <xf numFmtId="164" fontId="31" fillId="8" borderId="10" xfId="0" applyNumberFormat="1" applyFont="1" applyFill="1" applyBorder="1" applyAlignment="1" applyProtection="1">
      <alignment horizontal="center" wrapText="1"/>
      <protection locked="0"/>
    </xf>
    <xf numFmtId="166" fontId="31" fillId="8" borderId="9" xfId="0" applyNumberFormat="1" applyFont="1" applyFill="1" applyBorder="1" applyAlignment="1" applyProtection="1">
      <alignment horizontal="center" wrapText="1"/>
      <protection locked="0"/>
    </xf>
    <xf numFmtId="166" fontId="31" fillId="8" borderId="10" xfId="0" applyNumberFormat="1" applyFont="1" applyFill="1" applyBorder="1" applyAlignment="1" applyProtection="1">
      <alignment horizontal="center" wrapText="1"/>
      <protection locked="0"/>
    </xf>
    <xf numFmtId="0" fontId="15" fillId="9" borderId="0" xfId="0" applyFont="1" applyFill="1" applyAlignment="1">
      <alignment horizontal="center" vertical="center"/>
    </xf>
    <xf numFmtId="0" fontId="28" fillId="4" borderId="0" xfId="0" applyFont="1" applyFill="1" applyAlignment="1">
      <alignment horizontal="center"/>
    </xf>
    <xf numFmtId="0" fontId="27" fillId="4" borderId="1" xfId="0" applyFont="1" applyFill="1" applyBorder="1" applyAlignment="1">
      <alignment horizontal="center" wrapText="1"/>
    </xf>
    <xf numFmtId="0" fontId="23" fillId="8" borderId="16" xfId="0" applyFont="1" applyFill="1" applyBorder="1" applyAlignment="1" applyProtection="1">
      <alignment horizontal="center" wrapText="1"/>
      <protection locked="0"/>
    </xf>
    <xf numFmtId="0" fontId="23" fillId="8" borderId="15" xfId="0" applyFont="1" applyFill="1" applyBorder="1" applyAlignment="1" applyProtection="1">
      <alignment horizontal="center" wrapText="1"/>
      <protection locked="0"/>
    </xf>
    <xf numFmtId="0" fontId="23" fillId="8" borderId="14" xfId="0" applyFont="1" applyFill="1" applyBorder="1" applyAlignment="1" applyProtection="1">
      <alignment horizontal="center" wrapText="1"/>
      <protection locked="0"/>
    </xf>
    <xf numFmtId="0" fontId="33" fillId="8" borderId="16" xfId="0" applyFont="1" applyFill="1" applyBorder="1" applyAlignment="1" applyProtection="1">
      <alignment horizontal="center"/>
      <protection locked="0"/>
    </xf>
    <xf numFmtId="0" fontId="33" fillId="8" borderId="15" xfId="0" applyFont="1" applyFill="1" applyBorder="1" applyAlignment="1" applyProtection="1">
      <alignment horizontal="center"/>
      <protection locked="0"/>
    </xf>
    <xf numFmtId="0" fontId="25" fillId="4" borderId="0" xfId="0" applyFont="1" applyFill="1" applyAlignment="1">
      <alignment horizontal="center"/>
    </xf>
    <xf numFmtId="0" fontId="26" fillId="4" borderId="0" xfId="0" applyFont="1" applyFill="1" applyAlignment="1">
      <alignment horizontal="left"/>
    </xf>
    <xf numFmtId="0" fontId="0" fillId="17" borderId="0" xfId="0" applyFill="1" applyAlignment="1">
      <alignment horizontal="left"/>
    </xf>
  </cellXfs>
  <cellStyles count="1">
    <cellStyle name="Normal" xfId="0" builtinId="0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/>
  <colors>
    <mruColors>
      <color rgb="FF538DD5"/>
      <color rgb="FF518DD5"/>
      <color rgb="FF0066CC"/>
      <color rgb="FFBF8213"/>
      <color rgb="FFD99315"/>
      <color rgb="FFE9A223"/>
      <color rgb="FFD4650A"/>
      <color rgb="FFEF720B"/>
      <color rgb="FFB85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761471</xdr:colOff>
      <xdr:row>66</xdr:row>
      <xdr:rowOff>60325</xdr:rowOff>
    </xdr:from>
    <xdr:to>
      <xdr:col>14</xdr:col>
      <xdr:colOff>724429</xdr:colOff>
      <xdr:row>86</xdr:row>
      <xdr:rowOff>40560</xdr:rowOff>
    </xdr:to>
    <xdr:pic>
      <xdr:nvPicPr>
        <xdr:cNvPr id="1033" name="Picture 5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221" y="11987742"/>
          <a:ext cx="7286625" cy="3887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38100</xdr:rowOff>
    </xdr:from>
    <xdr:to>
      <xdr:col>5</xdr:col>
      <xdr:colOff>285750</xdr:colOff>
      <xdr:row>86</xdr:row>
      <xdr:rowOff>22145</xdr:rowOff>
    </xdr:to>
    <xdr:pic>
      <xdr:nvPicPr>
        <xdr:cNvPr id="1034" name="Picture 6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917" y="8705850"/>
          <a:ext cx="2286000" cy="3897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607868</xdr:colOff>
      <xdr:row>6</xdr:row>
      <xdr:rowOff>69033</xdr:rowOff>
    </xdr:from>
    <xdr:to>
      <xdr:col>15</xdr:col>
      <xdr:colOff>593724</xdr:colOff>
      <xdr:row>13</xdr:row>
      <xdr:rowOff>125983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9201" y="1624783"/>
          <a:ext cx="2811606" cy="1440808"/>
        </a:xfrm>
        <a:prstGeom prst="rect">
          <a:avLst/>
        </a:prstGeom>
      </xdr:spPr>
    </xdr:pic>
    <xdr:clientData/>
  </xdr:twoCellAnchor>
  <xdr:twoCellAnchor editAs="oneCell">
    <xdr:from>
      <xdr:col>15</xdr:col>
      <xdr:colOff>10588</xdr:colOff>
      <xdr:row>25</xdr:row>
      <xdr:rowOff>66261</xdr:rowOff>
    </xdr:from>
    <xdr:to>
      <xdr:col>17</xdr:col>
      <xdr:colOff>853657</xdr:colOff>
      <xdr:row>34</xdr:row>
      <xdr:rowOff>1034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39979" y="5276022"/>
          <a:ext cx="1663048" cy="183646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28575</xdr:colOff>
          <xdr:row>64</xdr:row>
          <xdr:rowOff>47625</xdr:rowOff>
        </xdr:from>
        <xdr:to>
          <xdr:col>17</xdr:col>
          <xdr:colOff>1257300</xdr:colOff>
          <xdr:row>66</xdr:row>
          <xdr:rowOff>171450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a-D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Indsæt 1 tom række nederst </a:t>
              </a:r>
            </a:p>
          </xdr:txBody>
        </xdr:sp>
        <xdr:clientData fPrintsWithSheet="0"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asmus Jes Petersen" id="{4E58BB87-2146-4FE1-A534-5DD0FDBAD434}" userId="S::AU216670@uni.au.dk::aacaaf6e-11a0-4a42-b7b6-2a800680356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U29" dT="2022-11-23T09:16:08.79" personId="{4E58BB87-2146-4FE1-A534-5DD0FDBAD434}" id="{4640CB61-3B39-4D8A-B3A9-F6C38800A89B}">
    <text>hvis der kun er 2 DMI grids med hver sin georegion, vælges den første på listen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BA150"/>
  <sheetViews>
    <sheetView tabSelected="1" zoomScale="85" zoomScaleNormal="85" zoomScalePageLayoutView="90" workbookViewId="0">
      <selection activeCell="O62" sqref="O62"/>
    </sheetView>
  </sheetViews>
  <sheetFormatPr defaultColWidth="8.85546875" defaultRowHeight="15"/>
  <cols>
    <col min="1" max="1" width="4.28515625" style="3" customWidth="1"/>
    <col min="2" max="2" width="8" style="3" customWidth="1"/>
    <col min="3" max="3" width="11.85546875" style="3" customWidth="1"/>
    <col min="4" max="4" width="8.85546875" style="3"/>
    <col min="5" max="5" width="9.140625" style="3" customWidth="1"/>
    <col min="6" max="6" width="7.7109375" style="3" customWidth="1"/>
    <col min="7" max="7" width="14.28515625" style="3" customWidth="1"/>
    <col min="8" max="8" width="9.140625" style="3" customWidth="1"/>
    <col min="9" max="9" width="8.42578125" style="3" customWidth="1"/>
    <col min="10" max="10" width="9.42578125" style="3" customWidth="1"/>
    <col min="11" max="11" width="19" style="3" customWidth="1"/>
    <col min="12" max="12" width="20.42578125" style="3" customWidth="1"/>
    <col min="13" max="13" width="16.85546875" style="3" customWidth="1"/>
    <col min="14" max="14" width="12.140625" style="3" customWidth="1"/>
    <col min="15" max="15" width="13.28515625" style="3" customWidth="1"/>
    <col min="16" max="16" width="12.28515625" style="3" customWidth="1"/>
    <col min="17" max="17" width="12.28515625" style="3" hidden="1" customWidth="1"/>
    <col min="18" max="18" width="19.28515625" style="3" customWidth="1"/>
    <col min="19" max="19" width="7.85546875" style="3" customWidth="1"/>
    <col min="20" max="20" width="8.85546875" style="3"/>
    <col min="21" max="21" width="9.42578125" style="3" customWidth="1"/>
    <col min="22" max="22" width="1.85546875" style="3" customWidth="1"/>
    <col min="23" max="23" width="17.140625" style="3" customWidth="1"/>
    <col min="24" max="24" width="15.28515625" style="3" customWidth="1"/>
    <col min="25" max="25" width="12.5703125" style="3" customWidth="1"/>
    <col min="26" max="26" width="10.140625" style="3" customWidth="1"/>
    <col min="27" max="27" width="14.28515625" style="3" customWidth="1"/>
    <col min="28" max="28" width="18.140625" style="3" bestFit="1" customWidth="1"/>
    <col min="29" max="29" width="19.140625" style="3" bestFit="1" customWidth="1"/>
    <col min="30" max="30" width="11.7109375" style="3" customWidth="1"/>
    <col min="31" max="31" width="16.28515625" style="3" bestFit="1" customWidth="1"/>
    <col min="32" max="32" width="12.7109375" style="3" bestFit="1" customWidth="1"/>
    <col min="33" max="33" width="17.28515625" style="142" bestFit="1" customWidth="1"/>
    <col min="34" max="34" width="17.28515625" style="156" customWidth="1"/>
    <col min="35" max="35" width="13.42578125" style="3" bestFit="1" customWidth="1"/>
    <col min="36" max="37" width="14" style="3" customWidth="1"/>
    <col min="38" max="38" width="11.140625" style="3" customWidth="1"/>
    <col min="39" max="53" width="8.85546875" style="3"/>
  </cols>
  <sheetData>
    <row r="2" spans="1:53">
      <c r="A2" s="3" t="s">
        <v>125</v>
      </c>
      <c r="B2" s="54" t="s">
        <v>853</v>
      </c>
    </row>
    <row r="3" spans="1:53">
      <c r="B3" s="82"/>
    </row>
    <row r="4" spans="1:53" s="77" customFormat="1" ht="15.75" customHeight="1">
      <c r="A4" s="75"/>
      <c r="B4" s="76" t="s">
        <v>136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143"/>
      <c r="AH4" s="157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</row>
    <row r="5" spans="1:53">
      <c r="B5" s="51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</row>
    <row r="6" spans="1:53" s="5" customFormat="1" ht="46.5" customHeight="1">
      <c r="A6" s="4"/>
      <c r="B6" s="194" t="s">
        <v>35</v>
      </c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144"/>
      <c r="AH6" s="158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</row>
    <row r="7" spans="1:53" ht="21">
      <c r="B7" s="6"/>
      <c r="C7" s="58" t="s">
        <v>104</v>
      </c>
      <c r="D7" s="6"/>
      <c r="E7" s="6"/>
      <c r="F7" s="6"/>
      <c r="G7" s="59" t="s">
        <v>854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4"/>
      <c r="T7" s="4"/>
      <c r="U7" s="4"/>
      <c r="V7" s="4"/>
      <c r="W7" s="4"/>
      <c r="X7" s="4"/>
    </row>
    <row r="8" spans="1:53" ht="18.75" customHeight="1">
      <c r="B8" s="6"/>
      <c r="C8" s="7" t="s">
        <v>37</v>
      </c>
      <c r="D8" s="7"/>
      <c r="E8" s="7"/>
      <c r="F8" s="8"/>
      <c r="G8" s="8"/>
      <c r="H8" s="9"/>
      <c r="I8" s="9"/>
      <c r="J8" s="10"/>
      <c r="K8" s="202"/>
      <c r="L8" s="202"/>
      <c r="M8" s="202"/>
      <c r="N8" s="202"/>
      <c r="O8" s="9"/>
      <c r="P8" s="6"/>
      <c r="Q8" s="6"/>
      <c r="R8" s="6"/>
      <c r="T8" s="50"/>
      <c r="U8" s="50"/>
      <c r="V8" s="50"/>
      <c r="W8" s="50"/>
      <c r="X8" s="4"/>
    </row>
    <row r="9" spans="1:53" ht="9.75" customHeight="1">
      <c r="B9" s="6"/>
      <c r="C9" s="7"/>
      <c r="D9" s="7"/>
      <c r="E9" s="7"/>
      <c r="F9" s="8"/>
      <c r="G9" s="8"/>
      <c r="H9" s="9"/>
      <c r="I9" s="9"/>
      <c r="J9" s="10"/>
      <c r="K9" s="11"/>
      <c r="L9" s="11"/>
      <c r="M9" s="11"/>
      <c r="N9" s="11"/>
      <c r="O9" s="9"/>
      <c r="P9" s="6"/>
      <c r="Q9" s="6"/>
      <c r="R9" s="6"/>
      <c r="S9" s="4"/>
      <c r="T9" s="4"/>
      <c r="U9" s="4"/>
      <c r="V9" s="4"/>
      <c r="W9" s="4"/>
      <c r="X9" s="4"/>
    </row>
    <row r="10" spans="1:53">
      <c r="B10" s="6"/>
      <c r="C10" s="8" t="s">
        <v>36</v>
      </c>
      <c r="D10" s="8"/>
      <c r="E10" s="8"/>
      <c r="F10" s="6"/>
      <c r="G10" s="45">
        <v>47.35</v>
      </c>
      <c r="H10" s="12" t="s">
        <v>5</v>
      </c>
      <c r="I10" s="8"/>
      <c r="J10" s="13"/>
      <c r="K10" s="13"/>
      <c r="L10" s="13"/>
      <c r="M10" s="6"/>
      <c r="N10" s="9"/>
      <c r="O10" s="6"/>
      <c r="P10" s="6"/>
      <c r="Q10" s="6"/>
      <c r="R10" s="6"/>
    </row>
    <row r="11" spans="1:53">
      <c r="B11" s="6"/>
      <c r="C11" s="8" t="s">
        <v>107</v>
      </c>
      <c r="D11" s="8"/>
      <c r="E11" s="8"/>
      <c r="F11" s="6"/>
      <c r="G11" s="45">
        <v>126.3</v>
      </c>
      <c r="H11" s="12" t="s">
        <v>5</v>
      </c>
      <c r="I11" s="8" t="s">
        <v>840</v>
      </c>
      <c r="J11" s="13"/>
      <c r="K11" s="13"/>
      <c r="L11" s="13"/>
      <c r="M11" s="6"/>
      <c r="N11" s="9"/>
      <c r="O11" s="6"/>
      <c r="P11" s="6"/>
      <c r="Q11" s="6"/>
      <c r="R11" s="6"/>
    </row>
    <row r="12" spans="1:53">
      <c r="B12" s="6"/>
      <c r="C12" s="8" t="s">
        <v>848</v>
      </c>
      <c r="D12" s="8"/>
      <c r="E12" s="8"/>
      <c r="F12" s="6"/>
      <c r="G12" s="110">
        <f>oplands_areal+areal</f>
        <v>173.65</v>
      </c>
      <c r="H12" s="12" t="s">
        <v>5</v>
      </c>
      <c r="I12" s="8"/>
      <c r="J12" s="13"/>
      <c r="K12" s="13"/>
      <c r="L12" s="13"/>
      <c r="M12" s="6"/>
      <c r="N12" s="9"/>
      <c r="O12" s="6"/>
      <c r="P12" s="6"/>
      <c r="Q12" s="6"/>
      <c r="R12" s="6"/>
    </row>
    <row r="13" spans="1:53">
      <c r="B13" s="6"/>
      <c r="C13" s="8" t="s">
        <v>114</v>
      </c>
      <c r="D13" s="8"/>
      <c r="E13" s="8"/>
      <c r="F13" s="8"/>
      <c r="G13" s="45">
        <v>237.9</v>
      </c>
      <c r="H13" s="12" t="s">
        <v>5</v>
      </c>
      <c r="I13" s="8" t="s">
        <v>832</v>
      </c>
      <c r="J13" s="13"/>
      <c r="K13" s="13"/>
      <c r="L13" s="13"/>
      <c r="M13" s="13"/>
      <c r="N13" s="6"/>
      <c r="O13" s="9"/>
      <c r="P13" s="6"/>
      <c r="Q13" s="6"/>
      <c r="R13" s="6"/>
    </row>
    <row r="14" spans="1:53">
      <c r="B14" s="6"/>
      <c r="C14" s="8"/>
      <c r="D14" s="8"/>
      <c r="E14" s="8"/>
      <c r="F14" s="8"/>
      <c r="G14" s="41"/>
      <c r="H14" s="12"/>
      <c r="I14" s="40"/>
      <c r="J14" s="41"/>
      <c r="K14" s="41"/>
      <c r="L14" s="41"/>
      <c r="M14" s="41"/>
      <c r="N14" s="42"/>
      <c r="O14" s="43"/>
      <c r="P14" s="6"/>
      <c r="Q14" s="6"/>
      <c r="R14" s="6"/>
    </row>
    <row r="15" spans="1:53">
      <c r="B15" s="6"/>
      <c r="C15" s="8"/>
      <c r="D15" s="8"/>
      <c r="E15" s="8"/>
      <c r="F15" s="8"/>
      <c r="G15" s="8"/>
      <c r="H15" s="12"/>
      <c r="I15" s="40"/>
      <c r="J15" s="41"/>
      <c r="K15" s="41"/>
      <c r="L15" s="41"/>
      <c r="M15" s="41"/>
      <c r="N15" s="42"/>
      <c r="O15" s="43"/>
      <c r="P15" s="6"/>
      <c r="Q15" s="6"/>
      <c r="R15" s="6"/>
    </row>
    <row r="16" spans="1:53">
      <c r="B16" s="6"/>
      <c r="C16" s="8"/>
      <c r="D16" s="8"/>
      <c r="E16" s="8"/>
      <c r="F16" s="8"/>
      <c r="G16" s="8"/>
      <c r="H16" s="12"/>
      <c r="I16" s="40"/>
      <c r="J16" s="41"/>
      <c r="K16" s="41"/>
      <c r="L16" s="41"/>
      <c r="M16" s="41"/>
      <c r="N16" s="42"/>
      <c r="O16" s="43"/>
      <c r="P16" s="6"/>
      <c r="Q16" s="6"/>
      <c r="R16" s="6"/>
    </row>
    <row r="17" spans="2:37" ht="21">
      <c r="B17" s="6"/>
      <c r="C17" s="89" t="s">
        <v>169</v>
      </c>
      <c r="D17" s="8"/>
      <c r="E17" s="8"/>
      <c r="F17" s="8"/>
      <c r="G17" s="41"/>
      <c r="H17" s="12"/>
      <c r="I17" s="12"/>
      <c r="J17" s="8"/>
      <c r="K17" s="13"/>
      <c r="L17" s="89" t="s">
        <v>170</v>
      </c>
      <c r="M17" s="13"/>
      <c r="N17" s="6"/>
      <c r="O17" s="9"/>
      <c r="P17" s="6"/>
      <c r="Q17" s="6"/>
      <c r="R17" s="6"/>
    </row>
    <row r="18" spans="2:37" ht="18.75">
      <c r="B18" s="6"/>
      <c r="C18" s="7" t="s">
        <v>111</v>
      </c>
      <c r="D18" s="8"/>
      <c r="E18" s="8"/>
      <c r="F18" s="8"/>
      <c r="G18" s="12"/>
      <c r="H18" s="12"/>
      <c r="I18" s="8"/>
      <c r="J18" s="13"/>
      <c r="K18" s="13"/>
      <c r="L18" s="7" t="s">
        <v>113</v>
      </c>
      <c r="M18" s="13"/>
      <c r="N18" s="6"/>
      <c r="O18" s="9"/>
      <c r="P18" s="6"/>
      <c r="Q18" s="6"/>
      <c r="R18" s="6"/>
    </row>
    <row r="19" spans="2:37" ht="18.75">
      <c r="B19" s="6"/>
      <c r="C19" s="8" t="s">
        <v>115</v>
      </c>
      <c r="D19" s="8"/>
      <c r="E19" s="8"/>
      <c r="F19" s="8"/>
      <c r="G19" s="12"/>
      <c r="H19" s="12"/>
      <c r="I19" s="8"/>
      <c r="J19" s="13"/>
      <c r="K19" s="13"/>
      <c r="L19" s="8" t="s">
        <v>112</v>
      </c>
      <c r="M19" s="13"/>
      <c r="N19" s="6"/>
      <c r="O19" s="9"/>
      <c r="P19" s="6"/>
      <c r="Q19" s="6"/>
      <c r="R19" s="6"/>
    </row>
    <row r="20" spans="2:37">
      <c r="B20" s="6"/>
      <c r="C20" s="8"/>
      <c r="D20" s="8"/>
      <c r="E20" s="8"/>
      <c r="F20" s="8"/>
      <c r="G20" s="12"/>
      <c r="H20" s="12"/>
      <c r="I20" s="8"/>
      <c r="J20" s="13"/>
      <c r="K20" s="13"/>
      <c r="L20" s="13"/>
      <c r="M20" s="13"/>
      <c r="N20" s="6"/>
      <c r="O20" s="9"/>
      <c r="P20" s="6"/>
      <c r="Q20" s="6"/>
      <c r="R20" s="6"/>
    </row>
    <row r="21" spans="2:37">
      <c r="B21" s="6"/>
      <c r="C21" s="84" t="s">
        <v>158</v>
      </c>
      <c r="D21" s="85"/>
      <c r="E21" s="85"/>
      <c r="F21" s="85"/>
      <c r="G21" s="85"/>
      <c r="H21" s="85"/>
      <c r="I21" s="85"/>
      <c r="J21" s="85"/>
      <c r="K21" s="13"/>
      <c r="L21" s="84" t="s">
        <v>164</v>
      </c>
      <c r="M21" s="85"/>
      <c r="N21" s="85"/>
      <c r="O21" s="9"/>
      <c r="P21" s="9"/>
      <c r="Q21" s="85"/>
      <c r="R21" s="6"/>
    </row>
    <row r="22" spans="2:37">
      <c r="B22" s="6"/>
      <c r="C22" s="171" t="s">
        <v>469</v>
      </c>
      <c r="D22" s="171"/>
      <c r="E22" s="171"/>
      <c r="F22" s="171"/>
      <c r="G22" s="171"/>
      <c r="H22" s="171"/>
      <c r="I22" s="171"/>
      <c r="J22" s="171"/>
      <c r="K22" s="13"/>
      <c r="L22" s="171" t="s">
        <v>469</v>
      </c>
      <c r="M22" s="171"/>
      <c r="N22" s="171"/>
      <c r="O22" s="9"/>
      <c r="P22" s="9"/>
      <c r="Q22" s="86"/>
      <c r="R22" s="6"/>
    </row>
    <row r="23" spans="2:37">
      <c r="B23" s="6"/>
      <c r="C23" s="171"/>
      <c r="D23" s="171"/>
      <c r="E23" s="171"/>
      <c r="F23" s="171"/>
      <c r="G23" s="171"/>
      <c r="H23" s="171"/>
      <c r="I23" s="171"/>
      <c r="J23" s="171"/>
      <c r="K23" s="13"/>
      <c r="L23" s="171"/>
      <c r="M23" s="171"/>
      <c r="N23" s="171"/>
      <c r="O23" s="9"/>
      <c r="P23" s="9"/>
      <c r="Q23" s="86"/>
      <c r="R23" s="6"/>
    </row>
    <row r="24" spans="2:37">
      <c r="B24" s="6"/>
      <c r="C24" s="171"/>
      <c r="D24" s="171"/>
      <c r="E24" s="171"/>
      <c r="F24" s="171"/>
      <c r="G24" s="171"/>
      <c r="H24" s="171"/>
      <c r="I24" s="171"/>
      <c r="J24" s="171"/>
      <c r="K24" s="13"/>
      <c r="L24" s="171"/>
      <c r="M24" s="171"/>
      <c r="N24" s="171"/>
      <c r="O24" s="9"/>
      <c r="P24" s="9"/>
      <c r="Q24" s="86"/>
      <c r="R24" s="6"/>
    </row>
    <row r="25" spans="2:37">
      <c r="B25" s="6"/>
      <c r="C25" s="8"/>
      <c r="D25" s="8"/>
      <c r="E25" s="8"/>
      <c r="F25" s="8"/>
      <c r="G25" s="12"/>
      <c r="H25" s="12"/>
      <c r="I25" s="8"/>
      <c r="J25" s="13"/>
      <c r="K25" s="13"/>
      <c r="L25" s="13"/>
      <c r="M25" s="13"/>
      <c r="N25" s="6"/>
      <c r="O25" s="9"/>
      <c r="P25" s="6"/>
      <c r="Q25" s="6"/>
      <c r="R25" s="6"/>
    </row>
    <row r="26" spans="2:37">
      <c r="B26" s="6"/>
      <c r="C26" s="9" t="s">
        <v>167</v>
      </c>
      <c r="D26" s="9"/>
      <c r="E26" s="9"/>
      <c r="F26" s="6"/>
      <c r="G26" s="110">
        <f>IFERROR(DMI!P29,"")</f>
        <v>859.89000000000033</v>
      </c>
      <c r="H26" s="12" t="s">
        <v>210</v>
      </c>
      <c r="I26" s="9"/>
      <c r="J26" s="9"/>
      <c r="K26" s="9"/>
      <c r="L26" s="9" t="s">
        <v>211</v>
      </c>
      <c r="M26" s="110">
        <f>IFERROR(DMI!AC14,"")</f>
        <v>859.89000000000033</v>
      </c>
      <c r="N26" s="9" t="s">
        <v>210</v>
      </c>
      <c r="O26" s="9"/>
      <c r="P26" s="6"/>
      <c r="Q26" s="6"/>
      <c r="R26" s="6"/>
    </row>
    <row r="27" spans="2:37">
      <c r="B27" s="6"/>
      <c r="C27" s="9" t="s">
        <v>168</v>
      </c>
      <c r="D27" s="9"/>
      <c r="E27" s="9"/>
      <c r="F27" s="6"/>
      <c r="G27" s="91">
        <f>IFERROR(DMI!Q29,"")</f>
        <v>599.72000000000071</v>
      </c>
      <c r="H27" s="12" t="s">
        <v>210</v>
      </c>
      <c r="I27" s="9"/>
      <c r="J27" s="9"/>
      <c r="K27" s="9"/>
      <c r="L27" s="9" t="s">
        <v>168</v>
      </c>
      <c r="M27" s="91">
        <f>IFERROR(DMI!AD14,"")</f>
        <v>599.72000000000071</v>
      </c>
      <c r="N27" s="9" t="s">
        <v>210</v>
      </c>
      <c r="O27" s="9"/>
      <c r="P27" s="6"/>
      <c r="Q27" s="6"/>
      <c r="R27" s="6"/>
    </row>
    <row r="28" spans="2:37">
      <c r="B28" s="6"/>
      <c r="C28" s="9" t="s">
        <v>212</v>
      </c>
      <c r="D28" s="9"/>
      <c r="E28" s="9"/>
      <c r="F28" s="6"/>
      <c r="G28" s="90">
        <f>IFERROR(G26-G27,"")</f>
        <v>260.16999999999962</v>
      </c>
      <c r="H28" s="12" t="s">
        <v>210</v>
      </c>
      <c r="I28" s="9"/>
      <c r="J28" s="9"/>
      <c r="K28" s="9"/>
      <c r="L28" s="6" t="s">
        <v>847</v>
      </c>
      <c r="M28" s="91">
        <f>IFERROR(M26-M27,"")</f>
        <v>260.16999999999962</v>
      </c>
      <c r="N28" s="9" t="s">
        <v>210</v>
      </c>
      <c r="O28" s="9"/>
      <c r="P28" s="6"/>
      <c r="Q28" s="6"/>
      <c r="R28" s="6"/>
    </row>
    <row r="29" spans="2:37" ht="15.75">
      <c r="B29" s="6"/>
      <c r="C29" s="8" t="s">
        <v>172</v>
      </c>
      <c r="D29" s="8"/>
      <c r="E29" s="8"/>
      <c r="F29" s="6"/>
      <c r="G29" s="92">
        <f>IFERROR(DMI!R29,"")</f>
        <v>7.9615153842599993</v>
      </c>
      <c r="H29" s="8" t="s">
        <v>38</v>
      </c>
      <c r="I29" s="8"/>
      <c r="J29" s="13"/>
      <c r="K29" s="13"/>
      <c r="L29" s="63" t="s">
        <v>174</v>
      </c>
      <c r="M29" s="88">
        <v>86.56</v>
      </c>
      <c r="N29" s="8" t="s">
        <v>844</v>
      </c>
      <c r="O29" s="8"/>
      <c r="P29" s="7"/>
      <c r="Q29" s="7"/>
      <c r="R29" s="6"/>
    </row>
    <row r="30" spans="2:37" ht="15.75">
      <c r="B30" s="6"/>
      <c r="C30" s="8" t="s">
        <v>195</v>
      </c>
      <c r="D30" s="8"/>
      <c r="E30" s="8"/>
      <c r="F30" s="6"/>
      <c r="G30" s="92">
        <f>IFERROR(DMI!S29,"")</f>
        <v>45.490047304634494</v>
      </c>
      <c r="H30" s="8" t="s">
        <v>38</v>
      </c>
      <c r="I30" s="8"/>
      <c r="J30" s="13"/>
      <c r="K30" s="13"/>
      <c r="L30" s="63" t="s">
        <v>173</v>
      </c>
      <c r="M30" s="88">
        <v>0.08</v>
      </c>
      <c r="N30" s="8" t="s">
        <v>844</v>
      </c>
      <c r="O30" s="8"/>
      <c r="P30" s="7"/>
      <c r="Q30" s="7"/>
      <c r="R30" s="6"/>
    </row>
    <row r="31" spans="2:37" ht="15.75">
      <c r="B31" s="6"/>
      <c r="C31" s="8" t="s">
        <v>171</v>
      </c>
      <c r="D31" s="8"/>
      <c r="E31" s="8"/>
      <c r="F31" s="6"/>
      <c r="G31" s="92">
        <f>IFERROR(DMI!T29,"")</f>
        <v>11.423500366764568</v>
      </c>
      <c r="H31" s="8"/>
      <c r="I31" s="8"/>
      <c r="J31" s="13"/>
      <c r="K31" s="13"/>
      <c r="L31" s="13" t="s">
        <v>39</v>
      </c>
      <c r="M31" s="91">
        <f>IFERROR(DMI!AG14," ")</f>
        <v>6</v>
      </c>
      <c r="N31" s="8" t="s">
        <v>841</v>
      </c>
      <c r="O31" s="8"/>
      <c r="P31" s="7"/>
      <c r="Q31" s="7"/>
      <c r="R31" s="6"/>
    </row>
    <row r="32" spans="2:37" ht="19.5" customHeight="1">
      <c r="B32" s="6"/>
      <c r="C32" s="8" t="s">
        <v>39</v>
      </c>
      <c r="D32" s="8"/>
      <c r="E32" s="8"/>
      <c r="F32" s="6"/>
      <c r="G32" s="91">
        <f>IFERROR(DMI!U29," ")</f>
        <v>6</v>
      </c>
      <c r="H32" s="47"/>
      <c r="I32" s="8"/>
      <c r="J32" s="13"/>
      <c r="K32" s="13"/>
      <c r="L32" s="13" t="s">
        <v>40</v>
      </c>
      <c r="M32" s="92">
        <f>IF(IF(georeg_DO="","",IF(georeg_DO=1,6.246182048-4.833457007-0.000163712*nedbor_DO-0.039981285*jL_DO-0.02605607*j9_DO,IF(georeg_DO=2, 6.246182048-5.557069834-0.000163712*nedbor_DO,IF(georeg_DO=3, 6.246182048-5.433858116-0.000163712*nedbor_DO+0.01440517*jL_DO+0.005404613*j9_DO,IF(georeg_DO=4, 6.246182048-5.454599082-0.000163712*nedbor_DO-0.061801222*jL_DO+0.049981836*j9_DO,IF(georeg_DO=5, 6.246182048-5.337548982-0.000163712*nedbor_DO,IF(georeg_DO=6, 6.246182048-5.098125886-0.000163712*nedbor_DO-0.040959663*jL_DO+0.00211319*j9_DO,IF(georeg_DO=7, 6.246182048-5.332249757-0.000163712*nedbor_DO-0.020545044*jL_DO+0.00057544*j9_DO,IF(georeg_DO=8, 6.246182048-5.373048232-0.000163712*nedbor_DO-0.016805885*jL_DO+0.0062911*j9_DO,IF(georeg_DO=9, 6.246182048-0.000163712*nedbor_DO-0.445830539*jL_DO,1))))))))))&lt;0.05,0.05,IF(IF(georeg_DO="","",IF(georeg_DO=1,6.246182048-4.833457007-0.000163712*nedbor_DO-0.039981285*jL_DO-0.02605607*j9_DO,IF(georeg_DO=2, 6.246182048-5.557069834-0.000163712*nedbor_DO,IF(georeg_DO=3, 6.246182048-5.433858116-0.000163712*nedbor_DO+0.01440517*jL_DO+0.005404613*j9_DO,IF(georeg_DO=4, 6.246182048-5.454599082-0.000163712*nedbor_DO-0.061801222*jL_DO+0.049981836*j9_DO,IF(georeg_DO=5, 6.246182048-5.337548982-0.000163712*nedbor_DO,IF(georeg_DO=6, 6.246182048-5.098125886-0.000163712*nedbor_DO-0.040959663*jL_DO+0.00211319*j9_DO,IF(georeg_DO=7, 6.246182048-5.332249757-0.000163712*nedbor_DO-0.020545044*jL_DO+0.00057544*j9_DO,IF(georeg_DO=8, 6.246182048-5.373048232-0.000163712*nedbor_DO-0.016805885*jL_DO+0.0062911*j9_DO,IF(georeg_DO=9, 6.246182048-0.000163712*nedbor_DO-0.445830539*jL_DO,0))))))))))&gt;0.95,0.95,IF(georeg_DO="","",IF(georeg_DO=1,6.246182048-4.833457007-0.000163712*nedbor_DO-0.039981285*jL_DO-0.02605607*j9_DO,IF(georeg_DO=2, 6.246182048-5.557069834-0.000163712*nedbor_DO,IF(georeg_DO=3, 6.246182048-5.433858116-0.000163712*nedbor_DO+0.01440517*jL_DO+0.005404613*j9_DO,IF(georeg_DO=4, 6.246182048-5.454599082-0.000163712*nedbor_DO-0.061801222*jL_DO+0.049981836*j9_DO,IF(georeg_DO=5, 6.246182048-5.337548982-0.000163712*nedbor_DO,IF(georeg_DO=6, 6.246182048-5.098125886-0.000163712*nedbor_DO-0.040959663*jL_DO+0.00211319*j9_DO,IF(georeg_DO=7, 6.246182048-5.332249757-0.000163712*nedbor_DO-0.020545044*jL_DO+0.00057544*j9_DO,IF(georeg_DO=8, 6.246182048-5.373048232-0.000163712*nedbor_DO-0.016805885*jL_DO+0.0062911*j9_DO,IF(georeg_DO=9, 6.246182048-0.000163712*nedbor_DO-0.445830539*jL_DO,""))))))))))))</f>
        <v>0.05</v>
      </c>
      <c r="N32" s="47" t="s">
        <v>90</v>
      </c>
      <c r="O32" s="8"/>
      <c r="P32" s="7"/>
      <c r="Q32" s="7"/>
      <c r="R32" s="6"/>
      <c r="S32" s="15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45"/>
      <c r="AH32" s="159"/>
      <c r="AI32" s="16"/>
      <c r="AJ32" s="16"/>
      <c r="AK32" s="16"/>
    </row>
    <row r="33" spans="2:37" ht="20.25" customHeight="1">
      <c r="B33" s="6"/>
      <c r="C33" s="8" t="s">
        <v>40</v>
      </c>
      <c r="D33" s="8"/>
      <c r="E33" s="8"/>
      <c r="F33" s="6"/>
      <c r="G33" s="92">
        <f>IF(IF(georeg_VO="","",IF(georeg_VO=1,6.246182048-4.833457007-0.000163712*nedbor_VO-0.039981285*jL_VO-0.02605607*j9_VO,IF(georeg_VO=2, 6.246182048-5.557069834-0.000163712*nedbor_VO,IF(georeg_VO=3, 6.246182048-5.433858116-0.000163712*nedbor_VO+0.01440517*jL_VO+0.005404613*j9_VO,IF(georeg_VO=4, 6.246182048-5.454599082-0.000163712*nedbor_VO-0.061801222*jL_VO+0.049981836*j9_VO,IF(georeg_VO=5, 6.246182048-5.337548982-0.000163712*nedbor_VO,IF(georeg_VO=6, 6.246182048-5.098125886-0.000163712*nedbor_VO-0.040959663*jL_VO+0.00211319*j9_VO,IF(georeg_VO=7, 6.246182048-5.332249757-0.000163712*nedbor_VO-0.020545044*jL_VO+0.00057544*j9_VO,IF(georeg_VO=8, 6.246182048-5.373048232-0.000163712*nedbor_VO-0.016805885*jL_VO+0.0062911*j9_VO,IF(georeg_VO=9, 6.246182048-0.000163712*nedbor_VO-0.445830539*jL_VO,1))))))))))&lt;0.05,0.05,IF(IF(georeg_VO="","",IF(georeg_VO=1,6.246182048-4.833457007-0.000163712*nedbor_VO-0.039981285*jL_VO-0.02605607*j9_VO,IF(georeg_VO=2, 6.246182048-5.557069834-0.000163712*nedbor_VO,IF(georeg_VO=3, 6.246182048-5.433858116-0.000163712*nedbor_VO+0.01440517*jL_VO+0.005404613*j9_VO,IF(georeg_VO=4, 6.246182048-5.454599082-0.000163712*nedbor_VO-0.061801222*jL_VO+0.049981836*j9_VO,IF(georeg_VO=5, 6.246182048-5.337548982-0.000163712*nedbor_VO,IF(georeg_VO=6, 6.246182048-5.098125886-0.000163712*nedbor_VO-0.040959663*jL_VO+0.00211319*j9_VO,IF(georeg_VO=7, 6.246182048-5.332249757-0.000163712*nedbor_VO-0.020545044*jL_VO+0.00057544*j9_VO,IF(georeg_VO=8, 6.246182048-5.373048232-0.000163712*nedbor_VO-0.016805885*jL_VO+0.0062911*j9_VO,IF(georeg_VO=9, 6.246182048-0.000163712*nedbor_VO-0.445830539*jL_VO,0))))))))))&gt;0.95,0.95,IF(georeg_VO="","",IF(georeg_VO=1,6.246182048-4.833457007-0.000163712*nedbor_VO-0.039981285*jL_VO-0.02605607*j9_VO,IF(georeg_VO=2, 6.246182048-5.557069834-0.000163712*nedbor_VO,IF(georeg_VO=3, 6.246182048-5.433858116-0.000163712*nedbor_VO+0.01440517*jL_VO+0.005404613*j9_VO,IF(georeg_VO=4, 6.246182048-5.454599082-0.000163712*nedbor_VO-0.061801222*jL_VO+0.049981836*j9_VO,IF(georeg_VO=5, 6.246182048-5.337548982-0.000163712*nedbor_VO,IF(georeg_VO=6, 6.246182048-5.098125886-0.000163712*nedbor_VO-0.040959663*jL_VO+0.00211319*j9_VO,IF(georeg_VO=7, 6.246182048-5.332249757-0.000163712*nedbor_VO-0.020545044*jL_VO+0.00057544*j9_VO,IF(georeg_VO=8, 6.246182048-5.373048232-0.000163712*nedbor_VO-0.016805885*jL_VO+0.0062911*j9_VO,IF(georeg_VO=9, 6.246182048-0.000163712*nedbor_VO-0.445830539*jL_VO,""))))))))))))</f>
        <v>0.70532088995143771</v>
      </c>
      <c r="H33" s="9"/>
      <c r="I33" s="9"/>
      <c r="J33" s="9"/>
      <c r="K33" s="10"/>
      <c r="L33" s="18"/>
      <c r="M33" s="9"/>
      <c r="N33" s="9"/>
      <c r="O33" s="8"/>
      <c r="P33" s="7"/>
      <c r="Q33" s="7"/>
      <c r="R33" s="6"/>
      <c r="S33" s="183" t="s">
        <v>66</v>
      </c>
      <c r="T33" s="183"/>
      <c r="U33" s="183"/>
      <c r="V33" s="183"/>
      <c r="W33" s="183"/>
      <c r="X33" s="183"/>
      <c r="Y33" s="183"/>
      <c r="Z33" s="183"/>
      <c r="AA33" s="183"/>
      <c r="AB33" s="183"/>
      <c r="AC33" s="16"/>
      <c r="AD33" s="16"/>
      <c r="AE33" s="16"/>
      <c r="AF33" s="16"/>
      <c r="AG33" s="145"/>
      <c r="AH33" s="159"/>
      <c r="AI33" s="16"/>
      <c r="AJ33" s="16"/>
      <c r="AK33" s="16"/>
    </row>
    <row r="34" spans="2:37" ht="18" customHeight="1">
      <c r="B34" s="6"/>
      <c r="C34" s="8" t="s">
        <v>110</v>
      </c>
      <c r="D34" s="8"/>
      <c r="E34" s="8"/>
      <c r="F34" s="6"/>
      <c r="G34" s="93">
        <f>IFERROR(IF(G33="","",(1-BFI)*(G28)),"")</f>
        <v>76.666664061334345</v>
      </c>
      <c r="H34" s="8"/>
      <c r="I34" s="8"/>
      <c r="J34" s="8"/>
      <c r="K34" s="8"/>
      <c r="L34" s="8" t="s">
        <v>201</v>
      </c>
      <c r="M34" s="93">
        <f>IFERROR(IF(M32="","",(1-M32)*(netto_nedbor_DO/1000)*(samlet_oplands_areal*10000)),"")</f>
        <v>429195.94474999933</v>
      </c>
      <c r="N34" s="8" t="s">
        <v>76</v>
      </c>
      <c r="O34" s="8"/>
      <c r="P34" s="19"/>
      <c r="Q34" s="19"/>
      <c r="R34" s="6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7"/>
      <c r="AD34" s="17"/>
      <c r="AE34" s="17"/>
      <c r="AF34" s="17"/>
      <c r="AG34" s="146"/>
      <c r="AH34" s="160"/>
      <c r="AI34" s="17"/>
      <c r="AJ34" s="17"/>
      <c r="AK34" s="17"/>
    </row>
    <row r="35" spans="2:37" ht="20.25" customHeight="1">
      <c r="B35" s="6"/>
      <c r="C35" s="9"/>
      <c r="D35" s="9"/>
      <c r="E35" s="9"/>
      <c r="F35" s="6"/>
      <c r="G35" s="9"/>
      <c r="H35" s="9"/>
      <c r="I35" s="9"/>
      <c r="J35" s="10"/>
      <c r="K35" s="18"/>
      <c r="L35" s="18" t="s">
        <v>116</v>
      </c>
      <c r="M35" s="18"/>
      <c r="N35" s="6"/>
      <c r="O35" s="9"/>
      <c r="P35" s="6" t="s">
        <v>833</v>
      </c>
      <c r="Q35" s="19"/>
      <c r="R35" s="6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147"/>
      <c r="AH35" s="161"/>
      <c r="AI35" s="20"/>
      <c r="AJ35" s="78"/>
      <c r="AK35" s="78"/>
    </row>
    <row r="36" spans="2:37" ht="15.75" customHeight="1">
      <c r="B36" s="6"/>
      <c r="C36" s="7" t="s">
        <v>91</v>
      </c>
      <c r="D36" s="7"/>
      <c r="E36" s="7"/>
      <c r="F36" s="9"/>
      <c r="G36" s="9"/>
      <c r="H36" s="9"/>
      <c r="I36" s="9"/>
      <c r="J36" s="9"/>
      <c r="K36" s="9"/>
      <c r="L36" s="9"/>
      <c r="M36" s="9"/>
      <c r="N36" s="48"/>
      <c r="O36" s="9"/>
      <c r="P36" s="6" t="s">
        <v>122</v>
      </c>
      <c r="Q36" s="6"/>
      <c r="R36" s="6"/>
      <c r="S36" s="20"/>
      <c r="T36" s="21" t="s">
        <v>180</v>
      </c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147"/>
      <c r="AH36" s="161"/>
      <c r="AI36" s="20"/>
      <c r="AJ36" s="78"/>
      <c r="AK36" s="78"/>
    </row>
    <row r="37" spans="2:37" ht="15" customHeight="1">
      <c r="B37" s="6"/>
      <c r="C37" s="8" t="s">
        <v>54</v>
      </c>
      <c r="D37" s="8"/>
      <c r="E37" s="8"/>
      <c r="F37" s="8"/>
      <c r="G37" s="8"/>
      <c r="H37" s="8"/>
      <c r="I37" s="8"/>
      <c r="J37" s="8"/>
      <c r="K37" s="8"/>
      <c r="L37" s="8"/>
      <c r="M37" s="8"/>
      <c r="N37" s="48"/>
      <c r="O37" s="9"/>
      <c r="P37" s="140"/>
      <c r="Q37" s="6"/>
      <c r="R37" s="6"/>
      <c r="S37" s="20"/>
      <c r="T37" s="22" t="s">
        <v>2</v>
      </c>
      <c r="U37" s="2"/>
      <c r="V37" s="2"/>
      <c r="W37" s="2"/>
      <c r="X37" s="2"/>
      <c r="Y37" s="2"/>
      <c r="Z37" s="2"/>
      <c r="AA37" s="20"/>
      <c r="AB37" s="20"/>
      <c r="AC37" s="20"/>
      <c r="AD37" s="20"/>
      <c r="AE37" s="20"/>
      <c r="AF37" s="20"/>
      <c r="AG37" s="170" t="s">
        <v>185</v>
      </c>
      <c r="AH37" s="162" t="s">
        <v>185</v>
      </c>
      <c r="AI37" s="20"/>
      <c r="AJ37" s="78"/>
      <c r="AK37" s="79" t="s">
        <v>830</v>
      </c>
    </row>
    <row r="38" spans="2:37" ht="12.6" customHeight="1">
      <c r="B38" s="6"/>
      <c r="C38" s="8"/>
      <c r="D38" s="8"/>
      <c r="E38" s="135" t="s">
        <v>213</v>
      </c>
      <c r="F38" s="133"/>
      <c r="G38" s="141" t="s">
        <v>213</v>
      </c>
      <c r="H38" s="141"/>
      <c r="I38" s="133"/>
      <c r="J38" s="133" t="s">
        <v>214</v>
      </c>
      <c r="K38" s="133"/>
      <c r="L38" s="136" t="s">
        <v>130</v>
      </c>
      <c r="M38" s="136" t="s">
        <v>130</v>
      </c>
      <c r="N38" s="137" t="s">
        <v>130</v>
      </c>
      <c r="O38" s="138"/>
      <c r="P38" s="139"/>
      <c r="Q38" s="6"/>
      <c r="R38" s="6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147"/>
      <c r="AH38" s="161"/>
      <c r="AI38" s="20"/>
      <c r="AJ38" s="78"/>
      <c r="AK38" s="78"/>
    </row>
    <row r="39" spans="2:37" ht="17.25" customHeight="1">
      <c r="B39" s="6"/>
      <c r="C39" s="14"/>
      <c r="D39" s="14"/>
      <c r="E39" s="134"/>
      <c r="F39" s="9"/>
      <c r="G39" s="195" t="s">
        <v>75</v>
      </c>
      <c r="H39" s="195"/>
      <c r="I39" s="195"/>
      <c r="J39" s="9"/>
      <c r="K39" s="9"/>
      <c r="L39" s="187" t="s">
        <v>78</v>
      </c>
      <c r="M39" s="187"/>
      <c r="N39" s="187"/>
      <c r="O39" s="14"/>
      <c r="P39" s="6"/>
      <c r="Q39" s="6"/>
      <c r="R39" s="6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147"/>
      <c r="AH39" s="161"/>
      <c r="AI39" s="1"/>
      <c r="AJ39" s="79"/>
      <c r="AK39" s="79"/>
    </row>
    <row r="40" spans="2:37" ht="60" customHeight="1" thickBot="1">
      <c r="B40" s="6"/>
      <c r="C40" s="23" t="s">
        <v>41</v>
      </c>
      <c r="D40" s="23" t="s">
        <v>86</v>
      </c>
      <c r="E40" s="196" t="s">
        <v>46</v>
      </c>
      <c r="F40" s="196"/>
      <c r="G40" s="196" t="s">
        <v>79</v>
      </c>
      <c r="H40" s="196"/>
      <c r="I40" s="196"/>
      <c r="J40" s="23" t="s">
        <v>94</v>
      </c>
      <c r="K40" s="23" t="s">
        <v>80</v>
      </c>
      <c r="L40" s="196" t="s">
        <v>47</v>
      </c>
      <c r="M40" s="196"/>
      <c r="N40" s="23" t="s">
        <v>53</v>
      </c>
      <c r="O40" s="23" t="s">
        <v>92</v>
      </c>
      <c r="P40" s="23" t="s">
        <v>49</v>
      </c>
      <c r="Q40" s="23" t="s">
        <v>102</v>
      </c>
      <c r="R40" s="23" t="s">
        <v>95</v>
      </c>
      <c r="S40" s="20"/>
      <c r="T40" s="98" t="s">
        <v>41</v>
      </c>
      <c r="U40" s="184" t="s">
        <v>73</v>
      </c>
      <c r="V40" s="184"/>
      <c r="W40" s="184"/>
      <c r="X40" s="98" t="s">
        <v>0</v>
      </c>
      <c r="Y40" s="184" t="s">
        <v>1</v>
      </c>
      <c r="Z40" s="184"/>
      <c r="AA40" s="98" t="s">
        <v>96</v>
      </c>
      <c r="AB40" s="98" t="s">
        <v>77</v>
      </c>
      <c r="AC40" s="98" t="s">
        <v>15</v>
      </c>
      <c r="AD40" s="98" t="s">
        <v>97</v>
      </c>
      <c r="AE40" s="98" t="s">
        <v>16</v>
      </c>
      <c r="AF40" s="98" t="s">
        <v>103</v>
      </c>
      <c r="AG40" s="148" t="s">
        <v>190</v>
      </c>
      <c r="AH40" s="163" t="s">
        <v>192</v>
      </c>
      <c r="AI40" s="106" t="s">
        <v>188</v>
      </c>
      <c r="AJ40" s="107" t="s">
        <v>189</v>
      </c>
      <c r="AK40" s="107" t="s">
        <v>218</v>
      </c>
    </row>
    <row r="41" spans="2:37" ht="18" customHeight="1" thickBot="1">
      <c r="B41" s="6"/>
      <c r="C41" s="111">
        <v>1</v>
      </c>
      <c r="D41" s="112">
        <v>0.95</v>
      </c>
      <c r="E41" s="197" t="s">
        <v>33</v>
      </c>
      <c r="F41" s="198"/>
      <c r="G41" s="197" t="s">
        <v>44</v>
      </c>
      <c r="H41" s="199"/>
      <c r="I41" s="198"/>
      <c r="J41" s="113">
        <f t="shared" ref="J41:J64" si="0">IF(E41="","",IF(E41="Permanent vådt",Qovf/(areal*10000)*1000,IF(AND(E41="Delvist vådt",G41="&lt;50"),Qovf/(areal*10000)*1000,IF(AND(E41="Delvist vådt",G41="&gt;50"),(Qovf/(areal*10000))*1000*4/12,IF(E41="Tørt",0,"")))))</f>
        <v>906.43282946145575</v>
      </c>
      <c r="K41" s="112">
        <v>1</v>
      </c>
      <c r="L41" s="200" t="s">
        <v>855</v>
      </c>
      <c r="M41" s="201"/>
      <c r="N41" s="114">
        <v>0.5</v>
      </c>
      <c r="O41" s="115" t="s">
        <v>23</v>
      </c>
      <c r="P41" s="116">
        <f t="shared" ref="P41:P64" si="1">IF(O41="","",IF(O41="Intensiv (&gt;25%)",1,IF(O41="Moderat (&lt;25%)",0.5,0)))</f>
        <v>1</v>
      </c>
      <c r="Q41" s="117">
        <f t="shared" ref="Q41:Q64" si="2">IF(O41="","",IF(N41+P41&gt;1,1,N41+P41))</f>
        <v>1</v>
      </c>
      <c r="R41" s="118">
        <f t="shared" ref="R41:R64" si="3">IF(P41="","",IF(J41=0,0,IF((J41*Q41)&gt;netto_nedbor_DO,J41*Q41,netto_nedbor_DO)))</f>
        <v>906.43282946145575</v>
      </c>
      <c r="S41" s="20"/>
      <c r="T41" s="70">
        <f t="shared" ref="T41:T64" si="4">C41</f>
        <v>1</v>
      </c>
      <c r="U41" s="189">
        <v>0.316</v>
      </c>
      <c r="V41" s="190"/>
      <c r="W41" s="191"/>
      <c r="X41" s="80">
        <v>0.26</v>
      </c>
      <c r="Y41" s="192">
        <f>0.047/2</f>
        <v>2.35E-2</v>
      </c>
      <c r="Z41" s="193"/>
      <c r="AA41" s="72">
        <f t="shared" ref="AA41:AA64" si="5">IF(Y41="","",U41/((PI()*Y41^2*X41)))</f>
        <v>700.53225639222649</v>
      </c>
      <c r="AB41" s="71" t="s">
        <v>857</v>
      </c>
      <c r="AC41" s="72" t="s">
        <v>881</v>
      </c>
      <c r="AD41" s="73">
        <f t="shared" ref="AD41:AD64" si="6">IF(AC41="","",((AC41/1000)/Fe)/((AB41/1000)/P))</f>
        <v>8.7608681246305746</v>
      </c>
      <c r="AE41" s="105">
        <f t="shared" ref="AE41:AE64" si="7">IF(AB41="","",AA41*10000*0.3*AB41/1000^2)</f>
        <v>1214.7229325841206</v>
      </c>
      <c r="AF41" s="108">
        <f t="shared" ref="AF41:AF64" si="8">IF(AE41="","",IF(E41="Tørt",0,AE41*D41))</f>
        <v>1153.9867859549145</v>
      </c>
      <c r="AG41" s="149">
        <f>IF(AF41-_xlfn.IFNA(VLOOKUP(T41,Biomassehøst!B$6:$D$206,3,FALSE),0)&lt;0,0,AF41-_xlfn.IFNA(VLOOKUP(T41,Biomassehøst!$B$6:$D$206,3,FALSE),0))</f>
        <v>1153.9867859549145</v>
      </c>
      <c r="AH41" s="164">
        <f t="shared" ref="AH41:AH64" si="9">IF(AC41="","",IFERROR((AC41/Fe)/(AG41/D41/AA41/0.3/10000*1000^2/P),""))</f>
        <v>8.7608681246305746</v>
      </c>
      <c r="AI41" s="155">
        <f t="shared" ref="AI41:AI64" si="10">IF(E41="Tørt",0,IF(AH41="",0,(0.0504*(AH41^-0.958))))</f>
        <v>6.3018835449173321E-3</v>
      </c>
      <c r="AJ41" s="127">
        <f>IF(AI41="","",AI41*R41*(D41-_xlfn.IFNA(VLOOKUP(T41,Søer!$B$9:$C$208,2,FALSE),0)))</f>
        <v>5.4266224259282057</v>
      </c>
      <c r="AK41" s="127">
        <f>IFERROR(161.6 * Søer!$D$3^(-0.961)*VLOOKUP(T41,Søer!$B$9:$D$208,3,FALSE)^(-1.154)*VLOOKUP(T41,Søer!$B$9:$D$208,2,FALSE),0)</f>
        <v>0</v>
      </c>
    </row>
    <row r="42" spans="2:37" ht="18" customHeight="1" thickBot="1">
      <c r="B42" s="6"/>
      <c r="C42" s="119">
        <v>2</v>
      </c>
      <c r="D42" s="120">
        <v>0.15</v>
      </c>
      <c r="E42" s="180" t="s">
        <v>33</v>
      </c>
      <c r="F42" s="181"/>
      <c r="G42" s="180" t="s">
        <v>45</v>
      </c>
      <c r="H42" s="182"/>
      <c r="I42" s="181"/>
      <c r="J42" s="121">
        <f t="shared" si="0"/>
        <v>302.1442764871519</v>
      </c>
      <c r="K42" s="120">
        <v>0.4</v>
      </c>
      <c r="L42" s="173" t="s">
        <v>855</v>
      </c>
      <c r="M42" s="174"/>
      <c r="N42" s="122">
        <v>0.5</v>
      </c>
      <c r="O42" s="123" t="s">
        <v>23</v>
      </c>
      <c r="P42" s="124">
        <f t="shared" si="1"/>
        <v>1</v>
      </c>
      <c r="Q42" s="125">
        <f t="shared" si="2"/>
        <v>1</v>
      </c>
      <c r="R42" s="126">
        <f t="shared" si="3"/>
        <v>302.1442764871519</v>
      </c>
      <c r="S42" s="20"/>
      <c r="T42" s="66">
        <f t="shared" si="4"/>
        <v>2</v>
      </c>
      <c r="U42" s="175">
        <v>0.39300000000000002</v>
      </c>
      <c r="V42" s="176"/>
      <c r="W42" s="177"/>
      <c r="X42" s="81">
        <v>0.29499999999999998</v>
      </c>
      <c r="Y42" s="178">
        <f t="shared" ref="Y42:Y64" si="11">0.047/2</f>
        <v>2.35E-2</v>
      </c>
      <c r="Z42" s="179"/>
      <c r="AA42" s="68">
        <f t="shared" si="5"/>
        <v>767.86511433338046</v>
      </c>
      <c r="AB42" s="67" t="s">
        <v>858</v>
      </c>
      <c r="AC42" s="68" t="s">
        <v>882</v>
      </c>
      <c r="AD42" s="69">
        <f t="shared" si="6"/>
        <v>15.278516590574817</v>
      </c>
      <c r="AE42" s="105">
        <f t="shared" si="7"/>
        <v>732.54331907404492</v>
      </c>
      <c r="AF42" s="108">
        <f t="shared" si="8"/>
        <v>109.88149786110674</v>
      </c>
      <c r="AG42" s="149">
        <f>IF(AF42-_xlfn.IFNA(VLOOKUP(T42,Biomassehøst!$B$7:$D$207,3,FALSE),0)&lt;0,0,AF42-_xlfn.IFNA(VLOOKUP(T42,Biomassehøst!$B$7:$D$207,3,FALSE),0))</f>
        <v>109.88149786110674</v>
      </c>
      <c r="AH42" s="164">
        <f t="shared" si="9"/>
        <v>15.278516590574814</v>
      </c>
      <c r="AI42" s="155">
        <f t="shared" si="10"/>
        <v>3.6989695508999345E-3</v>
      </c>
      <c r="AJ42" s="127">
        <f>IF(AI42="","",AI42*R42*(D42-_xlfn.IFNA(VLOOKUP(T42,Søer!$B$9:$C$208,2,FALSE),0)))</f>
        <v>0.16764337180569985</v>
      </c>
      <c r="AK42" s="127">
        <f>IFERROR(161.6 * Søer!$D$3^(-0.961)*VLOOKUP(T42,Søer!$B$9:$D$208,3,FALSE)^(-1.154)*VLOOKUP(T42,Søer!$B$9:$D$208,2,FALSE),0)</f>
        <v>0</v>
      </c>
    </row>
    <row r="43" spans="2:37" ht="18" customHeight="1" thickBot="1">
      <c r="B43" s="6"/>
      <c r="C43" s="119">
        <v>3</v>
      </c>
      <c r="D43" s="120">
        <v>0.94</v>
      </c>
      <c r="E43" s="180" t="s">
        <v>33</v>
      </c>
      <c r="F43" s="181"/>
      <c r="G43" s="180" t="s">
        <v>44</v>
      </c>
      <c r="H43" s="182"/>
      <c r="I43" s="181"/>
      <c r="J43" s="121">
        <f t="shared" si="0"/>
        <v>906.43282946145575</v>
      </c>
      <c r="K43" s="120">
        <v>0.85</v>
      </c>
      <c r="L43" s="173" t="s">
        <v>855</v>
      </c>
      <c r="M43" s="174"/>
      <c r="N43" s="122">
        <v>0.5</v>
      </c>
      <c r="O43" s="123" t="s">
        <v>23</v>
      </c>
      <c r="P43" s="124">
        <f t="shared" si="1"/>
        <v>1</v>
      </c>
      <c r="Q43" s="125">
        <f t="shared" si="2"/>
        <v>1</v>
      </c>
      <c r="R43" s="126">
        <f t="shared" si="3"/>
        <v>906.43282946145575</v>
      </c>
      <c r="S43" s="20"/>
      <c r="T43" s="66">
        <f t="shared" si="4"/>
        <v>3</v>
      </c>
      <c r="U43" s="175">
        <v>0.188</v>
      </c>
      <c r="V43" s="176"/>
      <c r="W43" s="177"/>
      <c r="X43" s="81">
        <v>0.224</v>
      </c>
      <c r="Y43" s="178">
        <f t="shared" si="11"/>
        <v>2.35E-2</v>
      </c>
      <c r="Z43" s="179"/>
      <c r="AA43" s="68">
        <f t="shared" si="5"/>
        <v>483.75362641913478</v>
      </c>
      <c r="AB43" s="67" t="s">
        <v>859</v>
      </c>
      <c r="AC43" s="68" t="s">
        <v>883</v>
      </c>
      <c r="AD43" s="69">
        <f t="shared" si="6"/>
        <v>56.576825202816259</v>
      </c>
      <c r="AE43" s="105">
        <f t="shared" si="7"/>
        <v>361.36395893509371</v>
      </c>
      <c r="AF43" s="108">
        <f t="shared" si="8"/>
        <v>339.68212139898804</v>
      </c>
      <c r="AG43" s="149">
        <f>IF(AF43-_xlfn.IFNA(VLOOKUP(T43,Biomassehøst!$B$7:$D$207,3,FALSE),0)&lt;0,0,AF43-_xlfn.IFNA(VLOOKUP(T43,Biomassehøst!$B$7:$D$207,3,FALSE),0))</f>
        <v>339.68212139898804</v>
      </c>
      <c r="AH43" s="164">
        <f t="shared" si="9"/>
        <v>56.576825202816224</v>
      </c>
      <c r="AI43" s="155">
        <f t="shared" si="10"/>
        <v>1.0553652330059229E-3</v>
      </c>
      <c r="AJ43" s="127">
        <f>IF(AI43="","",AI43*R43*(D43-_xlfn.IFNA(VLOOKUP(T43,Søer!$B$9:$C$208,2,FALSE),0)))</f>
        <v>0.89922063261267871</v>
      </c>
      <c r="AK43" s="127">
        <f>IFERROR(161.6 * Søer!$D$3^(-0.961)*VLOOKUP(T43,Søer!$B$9:$D$208,3,FALSE)^(-1.154)*VLOOKUP(T43,Søer!$B$9:$D$208,2,FALSE),0)</f>
        <v>0</v>
      </c>
    </row>
    <row r="44" spans="2:37" ht="18" customHeight="1" thickBot="1">
      <c r="B44" s="6"/>
      <c r="C44" s="119">
        <v>4</v>
      </c>
      <c r="D44" s="120">
        <v>0.85</v>
      </c>
      <c r="E44" s="180" t="s">
        <v>33</v>
      </c>
      <c r="F44" s="181"/>
      <c r="G44" s="180" t="s">
        <v>44</v>
      </c>
      <c r="H44" s="182"/>
      <c r="I44" s="181"/>
      <c r="J44" s="121">
        <f t="shared" si="0"/>
        <v>906.43282946145575</v>
      </c>
      <c r="K44" s="120">
        <v>0.4</v>
      </c>
      <c r="L44" s="173" t="s">
        <v>855</v>
      </c>
      <c r="M44" s="174"/>
      <c r="N44" s="122">
        <v>0.5</v>
      </c>
      <c r="O44" s="123" t="s">
        <v>23</v>
      </c>
      <c r="P44" s="124">
        <f t="shared" si="1"/>
        <v>1</v>
      </c>
      <c r="Q44" s="125">
        <f t="shared" si="2"/>
        <v>1</v>
      </c>
      <c r="R44" s="126">
        <f t="shared" si="3"/>
        <v>906.43282946145575</v>
      </c>
      <c r="S44" s="20"/>
      <c r="T44" s="66">
        <f t="shared" si="4"/>
        <v>4</v>
      </c>
      <c r="U44" s="175">
        <v>0.36599999999999999</v>
      </c>
      <c r="V44" s="176"/>
      <c r="W44" s="177"/>
      <c r="X44" s="81">
        <v>0.21199999999999999</v>
      </c>
      <c r="Y44" s="178">
        <f t="shared" si="11"/>
        <v>2.35E-2</v>
      </c>
      <c r="Z44" s="179"/>
      <c r="AA44" s="68">
        <f t="shared" si="5"/>
        <v>995.0837341516044</v>
      </c>
      <c r="AB44" s="67" t="s">
        <v>860</v>
      </c>
      <c r="AC44" s="68" t="s">
        <v>884</v>
      </c>
      <c r="AD44" s="69">
        <f t="shared" si="6"/>
        <v>22.771438720722522</v>
      </c>
      <c r="AE44" s="105">
        <f t="shared" si="7"/>
        <v>734.37179580388408</v>
      </c>
      <c r="AF44" s="108">
        <f t="shared" si="8"/>
        <v>624.21602643330141</v>
      </c>
      <c r="AG44" s="149">
        <f>IF(AF44-_xlfn.IFNA(VLOOKUP(T44,Biomassehøst!$B$7:$D$207,3,FALSE),0)&lt;0,0,AF44-_xlfn.IFNA(VLOOKUP(T44,Biomassehøst!$B$7:$D$207,3,FALSE),0))</f>
        <v>624.21602643330141</v>
      </c>
      <c r="AH44" s="164">
        <f t="shared" si="9"/>
        <v>22.771438720722518</v>
      </c>
      <c r="AI44" s="155">
        <f t="shared" si="10"/>
        <v>2.5237740213557708E-3</v>
      </c>
      <c r="AJ44" s="127">
        <f>IF(AI44="","",AI44*R44*(D44-_xlfn.IFNA(VLOOKUP(T44,Søer!$B$9:$C$208,2,FALSE),0)))</f>
        <v>1.9444868830340034</v>
      </c>
      <c r="AK44" s="127">
        <f>IFERROR(161.6 * Søer!$D$3^(-0.961)*VLOOKUP(T44,Søer!$B$9:$D$208,3,FALSE)^(-1.154)*VLOOKUP(T44,Søer!$B$9:$D$208,2,FALSE),0)</f>
        <v>0</v>
      </c>
    </row>
    <row r="45" spans="2:37" ht="18" customHeight="1" thickBot="1">
      <c r="B45" s="6"/>
      <c r="C45" s="119">
        <v>5</v>
      </c>
      <c r="D45" s="120">
        <v>1.34</v>
      </c>
      <c r="E45" s="180" t="s">
        <v>33</v>
      </c>
      <c r="F45" s="181"/>
      <c r="G45" s="180" t="s">
        <v>44</v>
      </c>
      <c r="H45" s="182"/>
      <c r="I45" s="181"/>
      <c r="J45" s="121">
        <f t="shared" si="0"/>
        <v>906.43282946145575</v>
      </c>
      <c r="K45" s="120">
        <v>0.85</v>
      </c>
      <c r="L45" s="173" t="s">
        <v>855</v>
      </c>
      <c r="M45" s="174"/>
      <c r="N45" s="122">
        <v>0.5</v>
      </c>
      <c r="O45" s="123" t="s">
        <v>23</v>
      </c>
      <c r="P45" s="124">
        <f t="shared" si="1"/>
        <v>1</v>
      </c>
      <c r="Q45" s="125">
        <f t="shared" si="2"/>
        <v>1</v>
      </c>
      <c r="R45" s="126">
        <f t="shared" si="3"/>
        <v>906.43282946145575</v>
      </c>
      <c r="S45" s="20"/>
      <c r="T45" s="66">
        <f t="shared" si="4"/>
        <v>5</v>
      </c>
      <c r="U45" s="175">
        <v>0.17</v>
      </c>
      <c r="V45" s="176"/>
      <c r="W45" s="177"/>
      <c r="X45" s="81">
        <v>0.29499999999999998</v>
      </c>
      <c r="Y45" s="178">
        <f t="shared" si="11"/>
        <v>2.35E-2</v>
      </c>
      <c r="Z45" s="179"/>
      <c r="AA45" s="68">
        <f t="shared" si="5"/>
        <v>332.15539296863784</v>
      </c>
      <c r="AB45" s="67" t="s">
        <v>861</v>
      </c>
      <c r="AC45" s="68" t="s">
        <v>885</v>
      </c>
      <c r="AD45" s="69">
        <f t="shared" si="6"/>
        <v>40.793517966546169</v>
      </c>
      <c r="AE45" s="105">
        <f t="shared" si="7"/>
        <v>275.02466537803207</v>
      </c>
      <c r="AF45" s="108">
        <f t="shared" si="8"/>
        <v>368.53305160656299</v>
      </c>
      <c r="AG45" s="149">
        <f>IF(AF45-_xlfn.IFNA(VLOOKUP(T45,Biomassehøst!$B$7:$D$207,3,FALSE),0)&lt;0,0,AF45-_xlfn.IFNA(VLOOKUP(T45,Biomassehøst!$B$7:$D$207,3,FALSE),0))</f>
        <v>368.53305160656299</v>
      </c>
      <c r="AH45" s="164">
        <f t="shared" si="9"/>
        <v>40.793517966546176</v>
      </c>
      <c r="AI45" s="155">
        <f t="shared" si="10"/>
        <v>1.4437240973036807E-3</v>
      </c>
      <c r="AJ45" s="127">
        <f>IF(AI45="","",AI45*R45*(D45-_xlfn.IFNA(VLOOKUP(T45,Søer!$B$9:$C$208,2,FALSE),0)))</f>
        <v>1.7535761507640861</v>
      </c>
      <c r="AK45" s="127">
        <f>IFERROR(161.6 * Søer!$D$3^(-0.961)*VLOOKUP(T45,Søer!$B$9:$D$208,3,FALSE)^(-1.154)*VLOOKUP(T45,Søer!$B$9:$D$208,2,FALSE),0)</f>
        <v>0</v>
      </c>
    </row>
    <row r="46" spans="2:37" ht="18" customHeight="1" thickBot="1">
      <c r="B46" s="6"/>
      <c r="C46" s="119">
        <v>6</v>
      </c>
      <c r="D46" s="120">
        <v>1.21</v>
      </c>
      <c r="E46" s="180" t="s">
        <v>33</v>
      </c>
      <c r="F46" s="181"/>
      <c r="G46" s="180" t="s">
        <v>44</v>
      </c>
      <c r="H46" s="182"/>
      <c r="I46" s="181"/>
      <c r="J46" s="121">
        <f t="shared" si="0"/>
        <v>906.43282946145575</v>
      </c>
      <c r="K46" s="120">
        <v>0.8</v>
      </c>
      <c r="L46" s="173" t="s">
        <v>855</v>
      </c>
      <c r="M46" s="174"/>
      <c r="N46" s="122">
        <v>0.5</v>
      </c>
      <c r="O46" s="123" t="s">
        <v>23</v>
      </c>
      <c r="P46" s="124">
        <f t="shared" si="1"/>
        <v>1</v>
      </c>
      <c r="Q46" s="125">
        <f t="shared" si="2"/>
        <v>1</v>
      </c>
      <c r="R46" s="126">
        <f t="shared" si="3"/>
        <v>906.43282946145575</v>
      </c>
      <c r="S46" s="20"/>
      <c r="T46" s="66">
        <f t="shared" si="4"/>
        <v>6</v>
      </c>
      <c r="U46" s="175">
        <v>9.7799999999999998E-2</v>
      </c>
      <c r="V46" s="176"/>
      <c r="W46" s="177"/>
      <c r="X46" s="81">
        <v>0.24199999999999999</v>
      </c>
      <c r="Y46" s="178">
        <f t="shared" si="11"/>
        <v>2.35E-2</v>
      </c>
      <c r="Z46" s="179"/>
      <c r="AA46" s="68">
        <f t="shared" si="5"/>
        <v>232.93668552596424</v>
      </c>
      <c r="AB46" s="67" t="s">
        <v>862</v>
      </c>
      <c r="AC46" s="68" t="s">
        <v>886</v>
      </c>
      <c r="AD46" s="69">
        <f t="shared" si="6"/>
        <v>25.691658457066971</v>
      </c>
      <c r="AE46" s="105">
        <f t="shared" si="7"/>
        <v>351.50145845868002</v>
      </c>
      <c r="AF46" s="108">
        <f t="shared" si="8"/>
        <v>425.31676473500283</v>
      </c>
      <c r="AG46" s="149">
        <f>IF(AF46-_xlfn.IFNA(VLOOKUP(T46,Biomassehøst!$B$7:$D$207,3,FALSE),0)&lt;0,0,AF46-_xlfn.IFNA(VLOOKUP(T46,Biomassehøst!$B$7:$D$207,3,FALSE),0))</f>
        <v>425.31676473500283</v>
      </c>
      <c r="AH46" s="164">
        <f t="shared" si="9"/>
        <v>25.691658457066971</v>
      </c>
      <c r="AI46" s="155">
        <f t="shared" si="10"/>
        <v>2.2482762171256629E-3</v>
      </c>
      <c r="AJ46" s="127">
        <f>IF(AI46="","",AI46*R46*(D46-_xlfn.IFNA(VLOOKUP(T46,Søer!$B$9:$C$208,2,FALSE),0)))</f>
        <v>2.4658727612091362</v>
      </c>
      <c r="AK46" s="127">
        <f>IFERROR(161.6 * Søer!$D$3^(-0.961)*VLOOKUP(T46,Søer!$B$9:$D$208,3,FALSE)^(-1.154)*VLOOKUP(T46,Søer!$B$9:$D$208,2,FALSE),0)</f>
        <v>0</v>
      </c>
    </row>
    <row r="47" spans="2:37" ht="18" customHeight="1" thickBot="1">
      <c r="B47" s="6"/>
      <c r="C47" s="119">
        <v>7</v>
      </c>
      <c r="D47" s="120">
        <v>1.18</v>
      </c>
      <c r="E47" s="180" t="s">
        <v>33</v>
      </c>
      <c r="F47" s="181"/>
      <c r="G47" s="180" t="s">
        <v>44</v>
      </c>
      <c r="H47" s="182"/>
      <c r="I47" s="181"/>
      <c r="J47" s="121">
        <f t="shared" si="0"/>
        <v>906.43282946145575</v>
      </c>
      <c r="K47" s="120">
        <v>1</v>
      </c>
      <c r="L47" s="173" t="s">
        <v>855</v>
      </c>
      <c r="M47" s="174"/>
      <c r="N47" s="122">
        <v>0.5</v>
      </c>
      <c r="O47" s="123" t="s">
        <v>23</v>
      </c>
      <c r="P47" s="124">
        <f t="shared" si="1"/>
        <v>1</v>
      </c>
      <c r="Q47" s="125">
        <f t="shared" si="2"/>
        <v>1</v>
      </c>
      <c r="R47" s="126">
        <f t="shared" si="3"/>
        <v>906.43282946145575</v>
      </c>
      <c r="S47" s="20"/>
      <c r="T47" s="66">
        <f t="shared" si="4"/>
        <v>7</v>
      </c>
      <c r="U47" s="175">
        <v>0.125</v>
      </c>
      <c r="V47" s="176"/>
      <c r="W47" s="177"/>
      <c r="X47" s="81">
        <v>0.29499999999999998</v>
      </c>
      <c r="Y47" s="178">
        <f t="shared" si="11"/>
        <v>2.35E-2</v>
      </c>
      <c r="Z47" s="179"/>
      <c r="AA47" s="68">
        <f t="shared" si="5"/>
        <v>244.23190659458663</v>
      </c>
      <c r="AB47" s="67" t="s">
        <v>863</v>
      </c>
      <c r="AC47" s="68" t="s">
        <v>887</v>
      </c>
      <c r="AD47" s="69">
        <f t="shared" si="6"/>
        <v>46.111770165644536</v>
      </c>
      <c r="AE47" s="105">
        <f t="shared" si="7"/>
        <v>252.04732760561342</v>
      </c>
      <c r="AF47" s="108">
        <f t="shared" si="8"/>
        <v>297.4158465746238</v>
      </c>
      <c r="AG47" s="149">
        <f>IF(AF47-_xlfn.IFNA(VLOOKUP(T47,Biomassehøst!$B$7:$D$207,3,FALSE),0)&lt;0,0,AF47-_xlfn.IFNA(VLOOKUP(T47,Biomassehøst!$B$7:$D$207,3,FALSE),0))</f>
        <v>297.4158465746238</v>
      </c>
      <c r="AH47" s="164">
        <f t="shared" si="9"/>
        <v>46.111770165644529</v>
      </c>
      <c r="AI47" s="155">
        <f t="shared" si="10"/>
        <v>1.2838043335169122E-3</v>
      </c>
      <c r="AJ47" s="127">
        <f>IF(AI47="","",AI47*R47*(D47-_xlfn.IFNA(VLOOKUP(T47,Søer!$B$9:$C$208,2,FALSE),0)))</f>
        <v>1.3731452255154433</v>
      </c>
      <c r="AK47" s="127">
        <f>IFERROR(161.6 * Søer!$D$3^(-0.961)*VLOOKUP(T47,Søer!$B$9:$D$208,3,FALSE)^(-1.154)*VLOOKUP(T47,Søer!$B$9:$D$208,2,FALSE),0)</f>
        <v>0</v>
      </c>
    </row>
    <row r="48" spans="2:37" ht="18" customHeight="1" thickBot="1">
      <c r="B48" s="6"/>
      <c r="C48" s="119">
        <v>8</v>
      </c>
      <c r="D48" s="120">
        <v>0.79</v>
      </c>
      <c r="E48" s="180" t="s">
        <v>33</v>
      </c>
      <c r="F48" s="181"/>
      <c r="G48" s="180" t="s">
        <v>44</v>
      </c>
      <c r="H48" s="182"/>
      <c r="I48" s="181"/>
      <c r="J48" s="121">
        <f t="shared" si="0"/>
        <v>906.43282946145575</v>
      </c>
      <c r="K48" s="120">
        <v>0.85</v>
      </c>
      <c r="L48" s="173" t="s">
        <v>855</v>
      </c>
      <c r="M48" s="174"/>
      <c r="N48" s="122">
        <v>0.5</v>
      </c>
      <c r="O48" s="123" t="s">
        <v>23</v>
      </c>
      <c r="P48" s="124">
        <f t="shared" si="1"/>
        <v>1</v>
      </c>
      <c r="Q48" s="125">
        <f t="shared" si="2"/>
        <v>1</v>
      </c>
      <c r="R48" s="126">
        <f t="shared" si="3"/>
        <v>906.43282946145575</v>
      </c>
      <c r="S48" s="20"/>
      <c r="T48" s="66">
        <f t="shared" si="4"/>
        <v>8</v>
      </c>
      <c r="U48" s="175">
        <v>0.20100000000000001</v>
      </c>
      <c r="V48" s="176"/>
      <c r="W48" s="177"/>
      <c r="X48" s="81">
        <v>0.29499999999999998</v>
      </c>
      <c r="Y48" s="178">
        <f t="shared" si="11"/>
        <v>2.35E-2</v>
      </c>
      <c r="Z48" s="179"/>
      <c r="AA48" s="68">
        <f t="shared" si="5"/>
        <v>392.72490580409533</v>
      </c>
      <c r="AB48" s="67" t="s">
        <v>864</v>
      </c>
      <c r="AC48" s="68" t="s">
        <v>888</v>
      </c>
      <c r="AD48" s="69">
        <f t="shared" si="6"/>
        <v>19.798566731062724</v>
      </c>
      <c r="AE48" s="105">
        <f t="shared" si="7"/>
        <v>963.74691884324989</v>
      </c>
      <c r="AF48" s="108">
        <f t="shared" si="8"/>
        <v>761.36006588616749</v>
      </c>
      <c r="AG48" s="149">
        <f>IF(AF48-_xlfn.IFNA(VLOOKUP(T48,Biomassehøst!$B$7:$D$207,3,FALSE),0)&lt;0,0,AF48-_xlfn.IFNA(VLOOKUP(T48,Biomassehøst!$B$7:$D$207,3,FALSE),0))</f>
        <v>761.36006588616749</v>
      </c>
      <c r="AH48" s="164">
        <f t="shared" si="9"/>
        <v>19.798566731062717</v>
      </c>
      <c r="AI48" s="155">
        <f t="shared" si="10"/>
        <v>2.8857280591779717E-3</v>
      </c>
      <c r="AJ48" s="127">
        <f>IF(AI48="","",AI48*R48*(D48-_xlfn.IFNA(VLOOKUP(T48,Søer!$B$9:$C$208,2,FALSE),0)))</f>
        <v>2.0664177332922331</v>
      </c>
      <c r="AK48" s="127">
        <f>IFERROR(161.6 * Søer!$D$3^(-0.961)*VLOOKUP(T48,Søer!$B$9:$D$208,3,FALSE)^(-1.154)*VLOOKUP(T48,Søer!$B$9:$D$208,2,FALSE),0)</f>
        <v>0</v>
      </c>
    </row>
    <row r="49" spans="2:37" ht="18" customHeight="1" thickBot="1">
      <c r="B49" s="6"/>
      <c r="C49" s="119">
        <v>9</v>
      </c>
      <c r="D49" s="120">
        <v>0.61</v>
      </c>
      <c r="E49" s="180" t="s">
        <v>33</v>
      </c>
      <c r="F49" s="181"/>
      <c r="G49" s="180" t="s">
        <v>44</v>
      </c>
      <c r="H49" s="182"/>
      <c r="I49" s="181"/>
      <c r="J49" s="121">
        <f t="shared" si="0"/>
        <v>906.43282946145575</v>
      </c>
      <c r="K49" s="120">
        <v>0.75</v>
      </c>
      <c r="L49" s="173" t="s">
        <v>855</v>
      </c>
      <c r="M49" s="174"/>
      <c r="N49" s="122">
        <v>0.5</v>
      </c>
      <c r="O49" s="123" t="s">
        <v>23</v>
      </c>
      <c r="P49" s="124">
        <f t="shared" si="1"/>
        <v>1</v>
      </c>
      <c r="Q49" s="125">
        <f t="shared" si="2"/>
        <v>1</v>
      </c>
      <c r="R49" s="126">
        <f t="shared" si="3"/>
        <v>906.43282946145575</v>
      </c>
      <c r="S49" s="20"/>
      <c r="T49" s="66">
        <f t="shared" si="4"/>
        <v>9</v>
      </c>
      <c r="U49" s="175">
        <v>9.7799999999999998E-2</v>
      </c>
      <c r="V49" s="176"/>
      <c r="W49" s="177"/>
      <c r="X49" s="81">
        <v>0.2</v>
      </c>
      <c r="Y49" s="178">
        <f t="shared" si="11"/>
        <v>2.35E-2</v>
      </c>
      <c r="Z49" s="179"/>
      <c r="AA49" s="68">
        <f t="shared" si="5"/>
        <v>281.85338948641669</v>
      </c>
      <c r="AB49" s="67" t="s">
        <v>865</v>
      </c>
      <c r="AC49" s="68" t="s">
        <v>889</v>
      </c>
      <c r="AD49" s="69">
        <f t="shared" si="6"/>
        <v>26.197001685636906</v>
      </c>
      <c r="AE49" s="105">
        <f t="shared" si="7"/>
        <v>427.85344524038061</v>
      </c>
      <c r="AF49" s="108">
        <f t="shared" si="8"/>
        <v>260.99060159663219</v>
      </c>
      <c r="AG49" s="149">
        <f>IF(AF49-_xlfn.IFNA(VLOOKUP(T49,Biomassehøst!$B$7:$D$207,3,FALSE),0)&lt;0,0,AF49-_xlfn.IFNA(VLOOKUP(T49,Biomassehøst!$B$7:$D$207,3,FALSE),0))</f>
        <v>260.99060159663219</v>
      </c>
      <c r="AH49" s="164">
        <f t="shared" si="9"/>
        <v>26.197001685636899</v>
      </c>
      <c r="AI49" s="155">
        <f t="shared" si="10"/>
        <v>2.2067112805702446E-3</v>
      </c>
      <c r="AJ49" s="127">
        <f>IF(AI49="","",AI49*R49*(D49-_xlfn.IFNA(VLOOKUP(T49,Søer!$B$9:$C$208,2,FALSE),0)))</f>
        <v>1.2201436854095975</v>
      </c>
      <c r="AK49" s="127">
        <f>IFERROR(161.6 * Søer!$D$3^(-0.961)*VLOOKUP(T49,Søer!$B$9:$D$208,3,FALSE)^(-1.154)*VLOOKUP(T49,Søer!$B$9:$D$208,2,FALSE),0)</f>
        <v>0</v>
      </c>
    </row>
    <row r="50" spans="2:37" ht="18" customHeight="1" thickBot="1">
      <c r="B50" s="6"/>
      <c r="C50" s="119">
        <v>10</v>
      </c>
      <c r="D50" s="120">
        <v>0.37</v>
      </c>
      <c r="E50" s="180" t="s">
        <v>33</v>
      </c>
      <c r="F50" s="181"/>
      <c r="G50" s="180" t="s">
        <v>44</v>
      </c>
      <c r="H50" s="182"/>
      <c r="I50" s="181"/>
      <c r="J50" s="121">
        <f t="shared" si="0"/>
        <v>906.43282946145575</v>
      </c>
      <c r="K50" s="120">
        <v>0.95</v>
      </c>
      <c r="L50" s="173" t="s">
        <v>855</v>
      </c>
      <c r="M50" s="174"/>
      <c r="N50" s="122">
        <v>0.5</v>
      </c>
      <c r="O50" s="123" t="s">
        <v>23</v>
      </c>
      <c r="P50" s="124">
        <f t="shared" si="1"/>
        <v>1</v>
      </c>
      <c r="Q50" s="125">
        <f t="shared" si="2"/>
        <v>1</v>
      </c>
      <c r="R50" s="126">
        <f t="shared" si="3"/>
        <v>906.43282946145575</v>
      </c>
      <c r="S50" s="20"/>
      <c r="T50" s="66">
        <f t="shared" si="4"/>
        <v>10</v>
      </c>
      <c r="U50" s="175">
        <v>0.161</v>
      </c>
      <c r="V50" s="176"/>
      <c r="W50" s="177"/>
      <c r="X50" s="81">
        <v>0.29499999999999998</v>
      </c>
      <c r="Y50" s="178">
        <f t="shared" si="11"/>
        <v>2.35E-2</v>
      </c>
      <c r="Z50" s="179"/>
      <c r="AA50" s="68">
        <f t="shared" si="5"/>
        <v>314.57069569382759</v>
      </c>
      <c r="AB50" s="67" t="s">
        <v>866</v>
      </c>
      <c r="AC50" s="68" t="s">
        <v>890</v>
      </c>
      <c r="AD50" s="69">
        <f t="shared" si="6"/>
        <v>25.191654739471652</v>
      </c>
      <c r="AE50" s="105">
        <f t="shared" si="7"/>
        <v>1009.7719331771865</v>
      </c>
      <c r="AF50" s="108">
        <f t="shared" si="8"/>
        <v>373.61561527555898</v>
      </c>
      <c r="AG50" s="149">
        <f>IF(AF50-_xlfn.IFNA(VLOOKUP(T50,Biomassehøst!$B$7:$D$207,3,FALSE),0)&lt;0,0,AF50-_xlfn.IFNA(VLOOKUP(T50,Biomassehøst!$B$7:$D$207,3,FALSE),0))</f>
        <v>373.61561527555898</v>
      </c>
      <c r="AH50" s="164">
        <f t="shared" si="9"/>
        <v>25.191654739471645</v>
      </c>
      <c r="AI50" s="155">
        <f t="shared" si="10"/>
        <v>2.2910080867065141E-3</v>
      </c>
      <c r="AJ50" s="127">
        <f>IF(AI50="","",AI50*R50*(D50-_xlfn.IFNA(VLOOKUP(T50,Søer!$B$9:$C$208,2,FALSE),0)))</f>
        <v>0.76835862867041083</v>
      </c>
      <c r="AK50" s="127">
        <f>IFERROR(161.6 * Søer!$D$3^(-0.961)*VLOOKUP(T50,Søer!$B$9:$D$208,3,FALSE)^(-1.154)*VLOOKUP(T50,Søer!$B$9:$D$208,2,FALSE),0)</f>
        <v>0</v>
      </c>
    </row>
    <row r="51" spans="2:37" ht="18" customHeight="1" thickBot="1">
      <c r="B51" s="6"/>
      <c r="C51" s="119">
        <v>11</v>
      </c>
      <c r="D51" s="120">
        <v>0.59</v>
      </c>
      <c r="E51" s="180" t="s">
        <v>33</v>
      </c>
      <c r="F51" s="181"/>
      <c r="G51" s="180" t="s">
        <v>44</v>
      </c>
      <c r="H51" s="182"/>
      <c r="I51" s="181"/>
      <c r="J51" s="121">
        <f t="shared" si="0"/>
        <v>906.43282946145575</v>
      </c>
      <c r="K51" s="120">
        <v>1</v>
      </c>
      <c r="L51" s="173" t="s">
        <v>855</v>
      </c>
      <c r="M51" s="174"/>
      <c r="N51" s="122">
        <v>0.5</v>
      </c>
      <c r="O51" s="123" t="s">
        <v>23</v>
      </c>
      <c r="P51" s="124">
        <f t="shared" si="1"/>
        <v>1</v>
      </c>
      <c r="Q51" s="125">
        <f t="shared" si="2"/>
        <v>1</v>
      </c>
      <c r="R51" s="126">
        <f t="shared" si="3"/>
        <v>906.43282946145575</v>
      </c>
      <c r="S51" s="20"/>
      <c r="T51" s="66">
        <f t="shared" si="4"/>
        <v>11</v>
      </c>
      <c r="U51" s="175">
        <v>0.30499999999999999</v>
      </c>
      <c r="V51" s="176"/>
      <c r="W51" s="177"/>
      <c r="X51" s="81">
        <v>0.29499999999999998</v>
      </c>
      <c r="Y51" s="178">
        <f t="shared" si="11"/>
        <v>2.35E-2</v>
      </c>
      <c r="Z51" s="179"/>
      <c r="AA51" s="68">
        <f t="shared" si="5"/>
        <v>595.92585209079141</v>
      </c>
      <c r="AB51" s="67" t="s">
        <v>867</v>
      </c>
      <c r="AC51" s="68" t="s">
        <v>891</v>
      </c>
      <c r="AD51" s="69">
        <f t="shared" si="6"/>
        <v>22.590310912453344</v>
      </c>
      <c r="AE51" s="105">
        <f t="shared" si="7"/>
        <v>1272.8976200659304</v>
      </c>
      <c r="AF51" s="108">
        <f t="shared" si="8"/>
        <v>751.00959583889892</v>
      </c>
      <c r="AG51" s="149">
        <f>IF(AF51-_xlfn.IFNA(VLOOKUP(T51,Biomassehøst!$B$7:$D$207,3,FALSE),0)&lt;0,0,AF51-_xlfn.IFNA(VLOOKUP(T51,Biomassehøst!$B$7:$D$207,3,FALSE),0))</f>
        <v>751.00959583889892</v>
      </c>
      <c r="AH51" s="164">
        <f t="shared" si="9"/>
        <v>22.59031091245334</v>
      </c>
      <c r="AI51" s="155">
        <f t="shared" si="10"/>
        <v>2.5431563507549186E-3</v>
      </c>
      <c r="AJ51" s="127">
        <f>IF(AI51="","",AI51*R51*(D51-_xlfn.IFNA(VLOOKUP(T51,Søer!$B$9:$C$208,2,FALSE),0)))</f>
        <v>1.3600682399988142</v>
      </c>
      <c r="AK51" s="127">
        <f>IFERROR(161.6 * Søer!$D$3^(-0.961)*VLOOKUP(T51,Søer!$B$9:$D$208,3,FALSE)^(-1.154)*VLOOKUP(T51,Søer!$B$9:$D$208,2,FALSE),0)</f>
        <v>0</v>
      </c>
    </row>
    <row r="52" spans="2:37" ht="18" customHeight="1" thickBot="1">
      <c r="B52" s="6"/>
      <c r="C52" s="119">
        <v>12</v>
      </c>
      <c r="D52" s="120">
        <v>0.53</v>
      </c>
      <c r="E52" s="180" t="s">
        <v>33</v>
      </c>
      <c r="F52" s="181"/>
      <c r="G52" s="180" t="s">
        <v>44</v>
      </c>
      <c r="H52" s="182"/>
      <c r="I52" s="181"/>
      <c r="J52" s="121">
        <f t="shared" si="0"/>
        <v>906.43282946145575</v>
      </c>
      <c r="K52" s="120">
        <v>1</v>
      </c>
      <c r="L52" s="173" t="s">
        <v>855</v>
      </c>
      <c r="M52" s="174"/>
      <c r="N52" s="122">
        <v>0.5</v>
      </c>
      <c r="O52" s="123" t="s">
        <v>23</v>
      </c>
      <c r="P52" s="124">
        <f t="shared" si="1"/>
        <v>1</v>
      </c>
      <c r="Q52" s="125">
        <f t="shared" si="2"/>
        <v>1</v>
      </c>
      <c r="R52" s="126">
        <f t="shared" si="3"/>
        <v>906.43282946145575</v>
      </c>
      <c r="S52" s="20"/>
      <c r="T52" s="66">
        <f t="shared" si="4"/>
        <v>12</v>
      </c>
      <c r="U52" s="175">
        <v>0.34100000000000003</v>
      </c>
      <c r="V52" s="176"/>
      <c r="W52" s="177"/>
      <c r="X52" s="81">
        <v>0.29499999999999998</v>
      </c>
      <c r="Y52" s="178">
        <f t="shared" si="11"/>
        <v>2.35E-2</v>
      </c>
      <c r="Z52" s="179"/>
      <c r="AA52" s="68">
        <f t="shared" si="5"/>
        <v>666.26464119003242</v>
      </c>
      <c r="AB52" s="67" t="s">
        <v>868</v>
      </c>
      <c r="AC52" s="68" t="s">
        <v>892</v>
      </c>
      <c r="AD52" s="69">
        <f t="shared" si="6"/>
        <v>11.147175511142718</v>
      </c>
      <c r="AE52" s="105">
        <f t="shared" si="7"/>
        <v>609.63214668887963</v>
      </c>
      <c r="AF52" s="108">
        <f t="shared" si="8"/>
        <v>323.10503774510624</v>
      </c>
      <c r="AG52" s="149">
        <f>IF(AF52-_xlfn.IFNA(VLOOKUP(T52,Biomassehøst!$B$7:$D$207,3,FALSE),0)&lt;0,0,AF52-_xlfn.IFNA(VLOOKUP(T52,Biomassehøst!$B$7:$D$207,3,FALSE),0))</f>
        <v>323.10503774510624</v>
      </c>
      <c r="AH52" s="164">
        <f t="shared" si="9"/>
        <v>11.14717551114272</v>
      </c>
      <c r="AI52" s="155">
        <f t="shared" si="10"/>
        <v>5.0031856766612577E-3</v>
      </c>
      <c r="AJ52" s="127">
        <f>IF(AI52="","",AI52*R52*(D52-_xlfn.IFNA(VLOOKUP(T52,Søer!$B$9:$C$208,2,FALSE),0)))</f>
        <v>2.4035774270850587</v>
      </c>
      <c r="AK52" s="127">
        <f>IFERROR(161.6 * Søer!$D$3^(-0.961)*VLOOKUP(T52,Søer!$B$9:$D$208,3,FALSE)^(-1.154)*VLOOKUP(T52,Søer!$B$9:$D$208,2,FALSE),0)</f>
        <v>0</v>
      </c>
    </row>
    <row r="53" spans="2:37" ht="18" customHeight="1" thickBot="1">
      <c r="B53" s="6"/>
      <c r="C53" s="119">
        <v>13</v>
      </c>
      <c r="D53" s="120">
        <v>0.86</v>
      </c>
      <c r="E53" s="180" t="s">
        <v>33</v>
      </c>
      <c r="F53" s="181"/>
      <c r="G53" s="180" t="s">
        <v>44</v>
      </c>
      <c r="H53" s="182"/>
      <c r="I53" s="181"/>
      <c r="J53" s="121">
        <f t="shared" si="0"/>
        <v>906.43282946145575</v>
      </c>
      <c r="K53" s="120">
        <v>0.9</v>
      </c>
      <c r="L53" s="173" t="s">
        <v>855</v>
      </c>
      <c r="M53" s="174"/>
      <c r="N53" s="122">
        <v>0.5</v>
      </c>
      <c r="O53" s="123" t="s">
        <v>23</v>
      </c>
      <c r="P53" s="124">
        <f t="shared" si="1"/>
        <v>1</v>
      </c>
      <c r="Q53" s="125">
        <f t="shared" si="2"/>
        <v>1</v>
      </c>
      <c r="R53" s="126">
        <f t="shared" si="3"/>
        <v>906.43282946145575</v>
      </c>
      <c r="S53" s="20"/>
      <c r="T53" s="66">
        <f t="shared" si="4"/>
        <v>13</v>
      </c>
      <c r="U53" s="175">
        <v>0.16500000000000001</v>
      </c>
      <c r="V53" s="176"/>
      <c r="W53" s="177"/>
      <c r="X53" s="81">
        <v>0.23</v>
      </c>
      <c r="Y53" s="178">
        <f t="shared" si="11"/>
        <v>2.35E-2</v>
      </c>
      <c r="Z53" s="179"/>
      <c r="AA53" s="68">
        <f t="shared" si="5"/>
        <v>413.49523664318269</v>
      </c>
      <c r="AB53" s="67" t="s">
        <v>869</v>
      </c>
      <c r="AC53" s="68" t="s">
        <v>893</v>
      </c>
      <c r="AD53" s="69">
        <f t="shared" si="6"/>
        <v>40.576905978111434</v>
      </c>
      <c r="AE53" s="105">
        <f t="shared" si="7"/>
        <v>286.5521989937256</v>
      </c>
      <c r="AF53" s="108">
        <f t="shared" si="8"/>
        <v>246.43489113460402</v>
      </c>
      <c r="AG53" s="149">
        <f>IF(AF53-_xlfn.IFNA(VLOOKUP(T53,Biomassehøst!$B$7:$D$207,3,FALSE),0)&lt;0,0,AF53-_xlfn.IFNA(VLOOKUP(T53,Biomassehøst!$B$7:$D$207,3,FALSE),0))</f>
        <v>246.43489113460402</v>
      </c>
      <c r="AH53" s="164">
        <f t="shared" si="9"/>
        <v>40.576905978111448</v>
      </c>
      <c r="AI53" s="155">
        <f t="shared" si="10"/>
        <v>1.4511066180456517E-3</v>
      </c>
      <c r="AJ53" s="127">
        <f>IF(AI53="","",AI53*R53*(D53-_xlfn.IFNA(VLOOKUP(T53,Søer!$B$9:$C$208,2,FALSE),0)))</f>
        <v>1.1311843827750132</v>
      </c>
      <c r="AK53" s="127">
        <f>IFERROR(161.6 * Søer!$D$3^(-0.961)*VLOOKUP(T53,Søer!$B$9:$D$208,3,FALSE)^(-1.154)*VLOOKUP(T53,Søer!$B$9:$D$208,2,FALSE),0)</f>
        <v>0</v>
      </c>
    </row>
    <row r="54" spans="2:37" ht="18" customHeight="1" thickBot="1">
      <c r="B54" s="6"/>
      <c r="C54" s="119">
        <v>14</v>
      </c>
      <c r="D54" s="120">
        <v>0.26</v>
      </c>
      <c r="E54" s="180" t="s">
        <v>33</v>
      </c>
      <c r="F54" s="181"/>
      <c r="G54" s="180" t="s">
        <v>45</v>
      </c>
      <c r="H54" s="182"/>
      <c r="I54" s="181"/>
      <c r="J54" s="121">
        <f t="shared" si="0"/>
        <v>302.1442764871519</v>
      </c>
      <c r="K54" s="120">
        <v>0.65</v>
      </c>
      <c r="L54" s="173" t="s">
        <v>856</v>
      </c>
      <c r="M54" s="174"/>
      <c r="N54" s="122">
        <v>1</v>
      </c>
      <c r="O54" s="123" t="s">
        <v>23</v>
      </c>
      <c r="P54" s="124">
        <f t="shared" si="1"/>
        <v>1</v>
      </c>
      <c r="Q54" s="125">
        <f t="shared" si="2"/>
        <v>1</v>
      </c>
      <c r="R54" s="126">
        <f t="shared" si="3"/>
        <v>302.1442764871519</v>
      </c>
      <c r="S54" s="20"/>
      <c r="T54" s="66">
        <f t="shared" si="4"/>
        <v>14</v>
      </c>
      <c r="U54" s="175">
        <v>0.377</v>
      </c>
      <c r="V54" s="176"/>
      <c r="W54" s="177"/>
      <c r="X54" s="81">
        <v>0.218</v>
      </c>
      <c r="Y54" s="178">
        <f t="shared" si="11"/>
        <v>2.35E-2</v>
      </c>
      <c r="Z54" s="179"/>
      <c r="AA54" s="68">
        <f t="shared" si="5"/>
        <v>996.77987126300729</v>
      </c>
      <c r="AB54" s="67" t="s">
        <v>870</v>
      </c>
      <c r="AC54" s="68" t="s">
        <v>894</v>
      </c>
      <c r="AD54" s="69">
        <f t="shared" si="6"/>
        <v>28.600253370242548</v>
      </c>
      <c r="AE54" s="105">
        <f t="shared" si="7"/>
        <v>496.39637588897756</v>
      </c>
      <c r="AF54" s="108">
        <f t="shared" si="8"/>
        <v>129.06305773113417</v>
      </c>
      <c r="AG54" s="149">
        <f>IF(AF54-_xlfn.IFNA(VLOOKUP(T54,Biomassehøst!$B$7:$D$207,3,FALSE),0)&lt;0,0,AF54-_xlfn.IFNA(VLOOKUP(T54,Biomassehøst!$B$7:$D$207,3,FALSE),0))</f>
        <v>129.06305773113417</v>
      </c>
      <c r="AH54" s="164">
        <f t="shared" si="9"/>
        <v>28.600253370242548</v>
      </c>
      <c r="AI54" s="155">
        <f t="shared" si="10"/>
        <v>2.0287484025099571E-3</v>
      </c>
      <c r="AJ54" s="127">
        <f>IF(AI54="","",AI54*R54*(D54-_xlfn.IFNA(VLOOKUP(T54,Søer!$B$9:$C$208,2,FALSE),0)))</f>
        <v>0.15937342674521743</v>
      </c>
      <c r="AK54" s="127">
        <f>IFERROR(161.6 * Søer!$D$3^(-0.961)*VLOOKUP(T54,Søer!$B$9:$D$208,3,FALSE)^(-1.154)*VLOOKUP(T54,Søer!$B$9:$D$208,2,FALSE),0)</f>
        <v>0</v>
      </c>
    </row>
    <row r="55" spans="2:37" ht="18" customHeight="1" thickBot="1">
      <c r="B55" s="6"/>
      <c r="C55" s="119">
        <v>15</v>
      </c>
      <c r="D55" s="120">
        <v>0.81</v>
      </c>
      <c r="E55" s="180" t="s">
        <v>33</v>
      </c>
      <c r="F55" s="181"/>
      <c r="G55" s="180" t="s">
        <v>44</v>
      </c>
      <c r="H55" s="182"/>
      <c r="I55" s="181"/>
      <c r="J55" s="121">
        <f t="shared" si="0"/>
        <v>906.43282946145575</v>
      </c>
      <c r="K55" s="120">
        <v>0.45</v>
      </c>
      <c r="L55" s="173" t="s">
        <v>855</v>
      </c>
      <c r="M55" s="174"/>
      <c r="N55" s="122">
        <v>0.5</v>
      </c>
      <c r="O55" s="123" t="s">
        <v>23</v>
      </c>
      <c r="P55" s="124">
        <f t="shared" si="1"/>
        <v>1</v>
      </c>
      <c r="Q55" s="125">
        <f t="shared" si="2"/>
        <v>1</v>
      </c>
      <c r="R55" s="126">
        <f t="shared" si="3"/>
        <v>906.43282946145575</v>
      </c>
      <c r="S55" s="20"/>
      <c r="T55" s="66">
        <f t="shared" si="4"/>
        <v>15</v>
      </c>
      <c r="U55" s="175">
        <v>0.17499999999999999</v>
      </c>
      <c r="V55" s="176"/>
      <c r="W55" s="177"/>
      <c r="X55" s="81">
        <v>0.28699999999999998</v>
      </c>
      <c r="Y55" s="178">
        <f t="shared" si="11"/>
        <v>2.35E-2</v>
      </c>
      <c r="Z55" s="179"/>
      <c r="AA55" s="68">
        <f t="shared" si="5"/>
        <v>351.45567046538076</v>
      </c>
      <c r="AB55" s="67" t="s">
        <v>871</v>
      </c>
      <c r="AC55" s="68" t="s">
        <v>895</v>
      </c>
      <c r="AD55" s="69">
        <f t="shared" si="6"/>
        <v>15.994844743584093</v>
      </c>
      <c r="AE55" s="105">
        <f t="shared" si="7"/>
        <v>326.8537735328041</v>
      </c>
      <c r="AF55" s="108">
        <f t="shared" si="8"/>
        <v>264.75155656157136</v>
      </c>
      <c r="AG55" s="149">
        <f>IF(AF55-_xlfn.IFNA(VLOOKUP(T55,Biomassehøst!$B$7:$D$207,3,FALSE),0)&lt;0,0,AF55-_xlfn.IFNA(VLOOKUP(T55,Biomassehøst!$B$7:$D$207,3,FALSE),0))</f>
        <v>264.75155656157136</v>
      </c>
      <c r="AH55" s="164">
        <f t="shared" si="9"/>
        <v>15.994844743584089</v>
      </c>
      <c r="AI55" s="155">
        <f t="shared" si="10"/>
        <v>3.5401174334543043E-3</v>
      </c>
      <c r="AJ55" s="127">
        <f>IF(AI55="","",AI55*R55*(D55-_xlfn.IFNA(VLOOKUP(T55,Søer!$B$9:$C$208,2,FALSE),0)))</f>
        <v>2.5991917160837676</v>
      </c>
      <c r="AK55" s="127">
        <f>IFERROR(161.6 * Søer!$D$3^(-0.961)*VLOOKUP(T55,Søer!$B$9:$D$208,3,FALSE)^(-1.154)*VLOOKUP(T55,Søer!$B$9:$D$208,2,FALSE),0)</f>
        <v>0</v>
      </c>
    </row>
    <row r="56" spans="2:37" ht="18" customHeight="1" thickBot="1">
      <c r="B56" s="6"/>
      <c r="C56" s="119">
        <v>16</v>
      </c>
      <c r="D56" s="120">
        <v>0.78</v>
      </c>
      <c r="E56" s="180" t="s">
        <v>33</v>
      </c>
      <c r="F56" s="181"/>
      <c r="G56" s="180" t="s">
        <v>44</v>
      </c>
      <c r="H56" s="182"/>
      <c r="I56" s="181"/>
      <c r="J56" s="121">
        <f t="shared" si="0"/>
        <v>906.43282946145575</v>
      </c>
      <c r="K56" s="120">
        <v>0.4</v>
      </c>
      <c r="L56" s="173" t="s">
        <v>855</v>
      </c>
      <c r="M56" s="174"/>
      <c r="N56" s="122">
        <v>0.5</v>
      </c>
      <c r="O56" s="123" t="s">
        <v>23</v>
      </c>
      <c r="P56" s="124">
        <f t="shared" si="1"/>
        <v>1</v>
      </c>
      <c r="Q56" s="125">
        <f t="shared" si="2"/>
        <v>1</v>
      </c>
      <c r="R56" s="126">
        <f t="shared" si="3"/>
        <v>906.43282946145575</v>
      </c>
      <c r="S56" s="20"/>
      <c r="T56" s="66">
        <f t="shared" si="4"/>
        <v>16</v>
      </c>
      <c r="U56" s="175">
        <v>0.121</v>
      </c>
      <c r="V56" s="176"/>
      <c r="W56" s="177"/>
      <c r="X56" s="81">
        <v>0.23100000000000001</v>
      </c>
      <c r="Y56" s="178">
        <f t="shared" si="11"/>
        <v>2.35E-2</v>
      </c>
      <c r="Z56" s="179"/>
      <c r="AA56" s="68">
        <f t="shared" si="5"/>
        <v>301.91715691406989</v>
      </c>
      <c r="AB56" s="67" t="s">
        <v>872</v>
      </c>
      <c r="AC56" s="68" t="s">
        <v>896</v>
      </c>
      <c r="AD56" s="69">
        <f t="shared" si="6"/>
        <v>25.045306681326107</v>
      </c>
      <c r="AE56" s="105">
        <f t="shared" si="7"/>
        <v>635.83753246103106</v>
      </c>
      <c r="AF56" s="108">
        <f t="shared" si="8"/>
        <v>495.95327531960424</v>
      </c>
      <c r="AG56" s="149">
        <f>IF(AF56-_xlfn.IFNA(VLOOKUP(T56,Biomassehøst!$B$7:$D$207,3,FALSE),0)&lt;0,0,AF56-_xlfn.IFNA(VLOOKUP(T56,Biomassehøst!$B$7:$D$207,3,FALSE),0))</f>
        <v>495.95327531960424</v>
      </c>
      <c r="AH56" s="164">
        <f t="shared" si="9"/>
        <v>25.045306681326114</v>
      </c>
      <c r="AI56" s="155">
        <f t="shared" si="10"/>
        <v>2.3038313793578014E-3</v>
      </c>
      <c r="AJ56" s="127">
        <f>IF(AI56="","",AI56*R56*(D56-_xlfn.IFNA(VLOOKUP(T56,Søer!$B$9:$C$208,2,FALSE),0)))</f>
        <v>1.6288493487188369</v>
      </c>
      <c r="AK56" s="127">
        <f>IFERROR(161.6 * Søer!$D$3^(-0.961)*VLOOKUP(T56,Søer!$B$9:$D$208,3,FALSE)^(-1.154)*VLOOKUP(T56,Søer!$B$9:$D$208,2,FALSE),0)</f>
        <v>0</v>
      </c>
    </row>
    <row r="57" spans="2:37" ht="18" customHeight="1" thickBot="1">
      <c r="B57" s="6"/>
      <c r="C57" s="119">
        <v>17</v>
      </c>
      <c r="D57" s="120">
        <v>0.71</v>
      </c>
      <c r="E57" s="180" t="s">
        <v>33</v>
      </c>
      <c r="F57" s="181"/>
      <c r="G57" s="180" t="s">
        <v>44</v>
      </c>
      <c r="H57" s="182"/>
      <c r="I57" s="181"/>
      <c r="J57" s="121">
        <f t="shared" si="0"/>
        <v>906.43282946145575</v>
      </c>
      <c r="K57" s="120">
        <v>0.5</v>
      </c>
      <c r="L57" s="173" t="s">
        <v>855</v>
      </c>
      <c r="M57" s="174"/>
      <c r="N57" s="122">
        <v>0.5</v>
      </c>
      <c r="O57" s="123" t="s">
        <v>23</v>
      </c>
      <c r="P57" s="124">
        <f t="shared" si="1"/>
        <v>1</v>
      </c>
      <c r="Q57" s="125">
        <f t="shared" si="2"/>
        <v>1</v>
      </c>
      <c r="R57" s="126">
        <f t="shared" si="3"/>
        <v>906.43282946145575</v>
      </c>
      <c r="S57" s="20"/>
      <c r="T57" s="66">
        <f t="shared" si="4"/>
        <v>17</v>
      </c>
      <c r="U57" s="175">
        <v>0.42499999999999999</v>
      </c>
      <c r="V57" s="176"/>
      <c r="W57" s="177"/>
      <c r="X57" s="81">
        <v>0.28199999999999997</v>
      </c>
      <c r="Y57" s="178">
        <f t="shared" si="11"/>
        <v>2.35E-2</v>
      </c>
      <c r="Z57" s="179"/>
      <c r="AA57" s="68">
        <f t="shared" si="5"/>
        <v>868.66880253322836</v>
      </c>
      <c r="AB57" s="67" t="s">
        <v>873</v>
      </c>
      <c r="AC57" s="68" t="s">
        <v>897</v>
      </c>
      <c r="AD57" s="69">
        <f t="shared" si="6"/>
        <v>45.666205873206593</v>
      </c>
      <c r="AE57" s="105">
        <f t="shared" si="7"/>
        <v>914.70824906748942</v>
      </c>
      <c r="AF57" s="108">
        <f t="shared" si="8"/>
        <v>649.44285683791747</v>
      </c>
      <c r="AG57" s="149">
        <f>IF(AF57-_xlfn.IFNA(VLOOKUP(T57,Biomassehøst!$B$7:$D$207,3,FALSE),0)&lt;0,0,AF57-_xlfn.IFNA(VLOOKUP(T57,Biomassehøst!$B$7:$D$207,3,FALSE),0))</f>
        <v>649.44285683791747</v>
      </c>
      <c r="AH57" s="164">
        <f t="shared" si="9"/>
        <v>45.666205873206593</v>
      </c>
      <c r="AI57" s="155">
        <f t="shared" si="10"/>
        <v>1.2958018429727804E-3</v>
      </c>
      <c r="AJ57" s="127">
        <f>IF(AI57="","",AI57*R57*(D57-_xlfn.IFNA(VLOOKUP(T57,Søer!$B$9:$C$208,2,FALSE),0)))</f>
        <v>0.83393570497250225</v>
      </c>
      <c r="AK57" s="127">
        <f>IFERROR(161.6 * Søer!$D$3^(-0.961)*VLOOKUP(T57,Søer!$B$9:$D$208,3,FALSE)^(-1.154)*VLOOKUP(T57,Søer!$B$9:$D$208,2,FALSE),0)</f>
        <v>0</v>
      </c>
    </row>
    <row r="58" spans="2:37" ht="18" customHeight="1" thickBot="1">
      <c r="B58" s="6"/>
      <c r="C58" s="119">
        <v>18</v>
      </c>
      <c r="D58" s="120">
        <v>0.28999999999999998</v>
      </c>
      <c r="E58" s="180" t="s">
        <v>33</v>
      </c>
      <c r="F58" s="181"/>
      <c r="G58" s="180" t="s">
        <v>45</v>
      </c>
      <c r="H58" s="182"/>
      <c r="I58" s="181"/>
      <c r="J58" s="121">
        <f t="shared" si="0"/>
        <v>302.1442764871519</v>
      </c>
      <c r="K58" s="120">
        <v>0.35</v>
      </c>
      <c r="L58" s="173" t="s">
        <v>855</v>
      </c>
      <c r="M58" s="174"/>
      <c r="N58" s="122">
        <v>0.5</v>
      </c>
      <c r="O58" s="123" t="s">
        <v>23</v>
      </c>
      <c r="P58" s="124">
        <f t="shared" si="1"/>
        <v>1</v>
      </c>
      <c r="Q58" s="125">
        <f t="shared" si="2"/>
        <v>1</v>
      </c>
      <c r="R58" s="126">
        <f t="shared" si="3"/>
        <v>302.1442764871519</v>
      </c>
      <c r="S58" s="20"/>
      <c r="T58" s="66">
        <f t="shared" si="4"/>
        <v>18</v>
      </c>
      <c r="U58" s="175">
        <v>0.379</v>
      </c>
      <c r="V58" s="176"/>
      <c r="W58" s="177"/>
      <c r="X58" s="81">
        <v>0.25800000000000001</v>
      </c>
      <c r="Y58" s="178">
        <f t="shared" si="11"/>
        <v>2.35E-2</v>
      </c>
      <c r="Z58" s="179"/>
      <c r="AA58" s="68">
        <f t="shared" si="5"/>
        <v>846.70847493977533</v>
      </c>
      <c r="AB58" s="67" t="s">
        <v>874</v>
      </c>
      <c r="AC58" s="68" t="s">
        <v>898</v>
      </c>
      <c r="AD58" s="69">
        <f t="shared" si="6"/>
        <v>14.958232203765341</v>
      </c>
      <c r="AE58" s="105">
        <f t="shared" si="7"/>
        <v>419.12069509518875</v>
      </c>
      <c r="AF58" s="108">
        <f t="shared" si="8"/>
        <v>121.54500157760472</v>
      </c>
      <c r="AG58" s="149">
        <f>IF(AF58-_xlfn.IFNA(VLOOKUP(T58,Biomassehøst!$B$7:$D$207,3,FALSE),0)&lt;0,0,AF58-_xlfn.IFNA(VLOOKUP(T58,Biomassehøst!$B$7:$D$207,3,FALSE),0))</f>
        <v>121.54500157760472</v>
      </c>
      <c r="AH58" s="164">
        <f t="shared" si="9"/>
        <v>14.958232203765341</v>
      </c>
      <c r="AI58" s="155">
        <f t="shared" si="10"/>
        <v>3.7748112188553552E-3</v>
      </c>
      <c r="AJ58" s="127">
        <f>IF(AI58="","",AI58*R58*(D58-_xlfn.IFNA(VLOOKUP(T58,Søer!$B$9:$C$208,2,FALSE),0)))</f>
        <v>0.33075590533302424</v>
      </c>
      <c r="AK58" s="127">
        <f>IFERROR(161.6 * Søer!$D$3^(-0.961)*VLOOKUP(T58,Søer!$B$9:$D$208,3,FALSE)^(-1.154)*VLOOKUP(T58,Søer!$B$9:$D$208,2,FALSE),0)</f>
        <v>0</v>
      </c>
    </row>
    <row r="59" spans="2:37" ht="18" customHeight="1" thickBot="1">
      <c r="B59" s="6"/>
      <c r="C59" s="119">
        <v>19</v>
      </c>
      <c r="D59" s="120">
        <v>1.27</v>
      </c>
      <c r="E59" s="180" t="s">
        <v>33</v>
      </c>
      <c r="F59" s="181"/>
      <c r="G59" s="180" t="s">
        <v>44</v>
      </c>
      <c r="H59" s="182"/>
      <c r="I59" s="181"/>
      <c r="J59" s="121">
        <f t="shared" si="0"/>
        <v>906.43282946145575</v>
      </c>
      <c r="K59" s="120">
        <v>1</v>
      </c>
      <c r="L59" s="173" t="s">
        <v>855</v>
      </c>
      <c r="M59" s="174"/>
      <c r="N59" s="122">
        <v>0.5</v>
      </c>
      <c r="O59" s="123" t="s">
        <v>23</v>
      </c>
      <c r="P59" s="124">
        <f t="shared" si="1"/>
        <v>1</v>
      </c>
      <c r="Q59" s="125">
        <f t="shared" si="2"/>
        <v>1</v>
      </c>
      <c r="R59" s="126">
        <f t="shared" si="3"/>
        <v>906.43282946145575</v>
      </c>
      <c r="S59" s="20"/>
      <c r="T59" s="66">
        <f t="shared" si="4"/>
        <v>19</v>
      </c>
      <c r="U59" s="175">
        <v>0.153</v>
      </c>
      <c r="V59" s="176"/>
      <c r="W59" s="177"/>
      <c r="X59" s="81">
        <v>0.28999999999999998</v>
      </c>
      <c r="Y59" s="178">
        <f t="shared" si="11"/>
        <v>2.35E-2</v>
      </c>
      <c r="Z59" s="179"/>
      <c r="AA59" s="68">
        <f t="shared" si="5"/>
        <v>304.09398907990806</v>
      </c>
      <c r="AB59" s="67" t="s">
        <v>875</v>
      </c>
      <c r="AC59" s="68" t="s">
        <v>899</v>
      </c>
      <c r="AD59" s="69">
        <f t="shared" si="6"/>
        <v>39.568193024621799</v>
      </c>
      <c r="AE59" s="105">
        <f t="shared" si="7"/>
        <v>299.2284852546295</v>
      </c>
      <c r="AF59" s="108">
        <f t="shared" si="8"/>
        <v>380.02017627337949</v>
      </c>
      <c r="AG59" s="149">
        <f>IF(AF59-_xlfn.IFNA(VLOOKUP(T59,Biomassehøst!$B$7:$D$207,3,FALSE),0)&lt;0,0,AF59-_xlfn.IFNA(VLOOKUP(T59,Biomassehøst!$B$7:$D$207,3,FALSE),0))</f>
        <v>380.02017627337949</v>
      </c>
      <c r="AH59" s="164">
        <f t="shared" si="9"/>
        <v>39.568193024621806</v>
      </c>
      <c r="AI59" s="155">
        <f t="shared" si="10"/>
        <v>1.4865271991760971E-3</v>
      </c>
      <c r="AJ59" s="127">
        <f>IF(AI59="","",AI59*R59*(D59-_xlfn.IFNA(VLOOKUP(T59,Søer!$B$9:$C$208,2,FALSE),0)))</f>
        <v>1.7112450601301654</v>
      </c>
      <c r="AK59" s="127">
        <f>IFERROR(161.6 * Søer!$D$3^(-0.961)*VLOOKUP(T59,Søer!$B$9:$D$208,3,FALSE)^(-1.154)*VLOOKUP(T59,Søer!$B$9:$D$208,2,FALSE),0)</f>
        <v>0</v>
      </c>
    </row>
    <row r="60" spans="2:37" ht="18" customHeight="1" thickBot="1">
      <c r="B60" s="6"/>
      <c r="C60" s="119">
        <v>20</v>
      </c>
      <c r="D60" s="120">
        <v>1.02</v>
      </c>
      <c r="E60" s="180" t="s">
        <v>33</v>
      </c>
      <c r="F60" s="181"/>
      <c r="G60" s="180" t="s">
        <v>44</v>
      </c>
      <c r="H60" s="182"/>
      <c r="I60" s="181"/>
      <c r="J60" s="121">
        <f t="shared" si="0"/>
        <v>906.43282946145575</v>
      </c>
      <c r="K60" s="120">
        <v>0.9</v>
      </c>
      <c r="L60" s="173" t="s">
        <v>855</v>
      </c>
      <c r="M60" s="174"/>
      <c r="N60" s="122">
        <v>0.5</v>
      </c>
      <c r="O60" s="123" t="s">
        <v>23</v>
      </c>
      <c r="P60" s="124">
        <f t="shared" si="1"/>
        <v>1</v>
      </c>
      <c r="Q60" s="125">
        <f t="shared" si="2"/>
        <v>1</v>
      </c>
      <c r="R60" s="126">
        <f t="shared" si="3"/>
        <v>906.43282946145575</v>
      </c>
      <c r="S60" s="20"/>
      <c r="T60" s="66">
        <f t="shared" si="4"/>
        <v>20</v>
      </c>
      <c r="U60" s="175">
        <v>9.2299999999999993E-2</v>
      </c>
      <c r="V60" s="176"/>
      <c r="W60" s="177"/>
      <c r="X60" s="81">
        <v>0.29199999999999998</v>
      </c>
      <c r="Y60" s="178">
        <f t="shared" si="11"/>
        <v>2.35E-2</v>
      </c>
      <c r="Z60" s="179"/>
      <c r="AA60" s="68">
        <f t="shared" si="5"/>
        <v>182.19365667700552</v>
      </c>
      <c r="AB60" s="67" t="s">
        <v>876</v>
      </c>
      <c r="AC60" s="68" t="s">
        <v>900</v>
      </c>
      <c r="AD60" s="69">
        <f t="shared" si="6"/>
        <v>24.736159741888116</v>
      </c>
      <c r="AE60" s="105">
        <f t="shared" si="7"/>
        <v>156.86873839890174</v>
      </c>
      <c r="AF60" s="108">
        <f t="shared" si="8"/>
        <v>160.00611316687977</v>
      </c>
      <c r="AG60" s="149">
        <f>IF(AF60-_xlfn.IFNA(VLOOKUP(T60,Biomassehøst!$B$7:$D$207,3,FALSE),0)&lt;0,0,AF60-_xlfn.IFNA(VLOOKUP(T60,Biomassehøst!$B$7:$D$207,3,FALSE),0))</f>
        <v>160.00611316687977</v>
      </c>
      <c r="AH60" s="164">
        <f t="shared" si="9"/>
        <v>24.736159741888113</v>
      </c>
      <c r="AI60" s="155">
        <f t="shared" si="10"/>
        <v>2.3314076395198635E-3</v>
      </c>
      <c r="AJ60" s="127">
        <f>IF(AI60="","",AI60*R60*(D60-_xlfn.IFNA(VLOOKUP(T60,Søer!$B$9:$C$208,2,FALSE),0)))</f>
        <v>2.1555297117844043</v>
      </c>
      <c r="AK60" s="127">
        <f>IFERROR(161.6 * Søer!$D$3^(-0.961)*VLOOKUP(T60,Søer!$B$9:$D$208,3,FALSE)^(-1.154)*VLOOKUP(T60,Søer!$B$9:$D$208,2,FALSE),0)</f>
        <v>0</v>
      </c>
    </row>
    <row r="61" spans="2:37" ht="18" customHeight="1" thickBot="1">
      <c r="B61" s="6"/>
      <c r="C61" s="119">
        <v>21</v>
      </c>
      <c r="D61" s="120">
        <v>1.32</v>
      </c>
      <c r="E61" s="180" t="s">
        <v>33</v>
      </c>
      <c r="F61" s="181"/>
      <c r="G61" s="180" t="s">
        <v>44</v>
      </c>
      <c r="H61" s="182"/>
      <c r="I61" s="181"/>
      <c r="J61" s="121">
        <f t="shared" si="0"/>
        <v>906.43282946145575</v>
      </c>
      <c r="K61" s="120">
        <v>1</v>
      </c>
      <c r="L61" s="173" t="s">
        <v>855</v>
      </c>
      <c r="M61" s="174"/>
      <c r="N61" s="122">
        <v>0.5</v>
      </c>
      <c r="O61" s="123" t="s">
        <v>23</v>
      </c>
      <c r="P61" s="124">
        <f t="shared" si="1"/>
        <v>1</v>
      </c>
      <c r="Q61" s="125">
        <f t="shared" si="2"/>
        <v>1</v>
      </c>
      <c r="R61" s="126">
        <f t="shared" si="3"/>
        <v>906.43282946145575</v>
      </c>
      <c r="S61" s="20"/>
      <c r="T61" s="66">
        <f t="shared" si="4"/>
        <v>21</v>
      </c>
      <c r="U61" s="175">
        <v>0.129</v>
      </c>
      <c r="V61" s="176"/>
      <c r="W61" s="177"/>
      <c r="X61" s="81">
        <v>0.24</v>
      </c>
      <c r="Y61" s="178">
        <f t="shared" si="11"/>
        <v>2.35E-2</v>
      </c>
      <c r="Z61" s="179"/>
      <c r="AA61" s="68">
        <f t="shared" si="5"/>
        <v>309.80817351523314</v>
      </c>
      <c r="AB61" s="67" t="s">
        <v>877</v>
      </c>
      <c r="AC61" s="68" t="s">
        <v>901</v>
      </c>
      <c r="AD61" s="69">
        <f t="shared" si="6"/>
        <v>20.895920513422393</v>
      </c>
      <c r="AE61" s="105">
        <f t="shared" si="7"/>
        <v>463.78283575230398</v>
      </c>
      <c r="AF61" s="108">
        <f t="shared" si="8"/>
        <v>612.1933431930413</v>
      </c>
      <c r="AG61" s="149">
        <f>IF(AF61-_xlfn.IFNA(VLOOKUP(T61,Biomassehøst!$B$7:$D$207,3,FALSE),0)&lt;0,0,AF61-_xlfn.IFNA(VLOOKUP(T61,Biomassehøst!$B$7:$D$207,3,FALSE),0))</f>
        <v>612.1933431930413</v>
      </c>
      <c r="AH61" s="164">
        <f t="shared" si="9"/>
        <v>20.895920513422393</v>
      </c>
      <c r="AI61" s="155">
        <f t="shared" si="10"/>
        <v>2.7403851926250142E-3</v>
      </c>
      <c r="AJ61" s="127">
        <f>IF(AI61="","",AI61*R61*(D61-_xlfn.IFNA(VLOOKUP(T61,Søer!$B$9:$C$208,2,FALSE),0)))</f>
        <v>3.278847137234286</v>
      </c>
      <c r="AK61" s="127">
        <f>IFERROR(161.6 * Søer!$D$3^(-0.961)*VLOOKUP(T61,Søer!$B$9:$D$208,3,FALSE)^(-1.154)*VLOOKUP(T61,Søer!$B$9:$D$208,2,FALSE),0)</f>
        <v>0</v>
      </c>
    </row>
    <row r="62" spans="2:37" ht="18" customHeight="1" thickBot="1">
      <c r="B62" s="6"/>
      <c r="C62" s="119">
        <v>22</v>
      </c>
      <c r="D62" s="120">
        <v>0.38</v>
      </c>
      <c r="E62" s="180" t="s">
        <v>33</v>
      </c>
      <c r="F62" s="181"/>
      <c r="G62" s="180" t="s">
        <v>44</v>
      </c>
      <c r="H62" s="182"/>
      <c r="I62" s="181"/>
      <c r="J62" s="121">
        <f t="shared" si="0"/>
        <v>906.43282946145575</v>
      </c>
      <c r="K62" s="120">
        <v>0.25</v>
      </c>
      <c r="L62" s="173" t="s">
        <v>855</v>
      </c>
      <c r="M62" s="174"/>
      <c r="N62" s="122">
        <v>0.5</v>
      </c>
      <c r="O62" s="123" t="s">
        <v>23</v>
      </c>
      <c r="P62" s="124">
        <f t="shared" si="1"/>
        <v>1</v>
      </c>
      <c r="Q62" s="125">
        <f t="shared" si="2"/>
        <v>1</v>
      </c>
      <c r="R62" s="126">
        <f t="shared" si="3"/>
        <v>906.43282946145575</v>
      </c>
      <c r="S62" s="20"/>
      <c r="T62" s="66">
        <f t="shared" si="4"/>
        <v>22</v>
      </c>
      <c r="U62" s="175">
        <v>0.44400000000000001</v>
      </c>
      <c r="V62" s="176"/>
      <c r="W62" s="177"/>
      <c r="X62" s="81">
        <v>0.22500000000000001</v>
      </c>
      <c r="Y62" s="178">
        <f t="shared" si="11"/>
        <v>2.35E-2</v>
      </c>
      <c r="Z62" s="179"/>
      <c r="AA62" s="68">
        <f t="shared" si="5"/>
        <v>1137.4042711380962</v>
      </c>
      <c r="AB62" s="67" t="s">
        <v>878</v>
      </c>
      <c r="AC62" s="68" t="s">
        <v>902</v>
      </c>
      <c r="AD62" s="69">
        <f t="shared" si="6"/>
        <v>20.362329923016784</v>
      </c>
      <c r="AE62" s="105">
        <f t="shared" si="7"/>
        <v>975.89286463648648</v>
      </c>
      <c r="AF62" s="108">
        <f t="shared" si="8"/>
        <v>370.83928856186486</v>
      </c>
      <c r="AG62" s="149">
        <f>IF(AF62-_xlfn.IFNA(VLOOKUP(T62,Biomassehøst!$B$7:$D$207,3,FALSE),0)&lt;0,0,AF62-_xlfn.IFNA(VLOOKUP(T62,Biomassehøst!$B$7:$D$207,3,FALSE),0))</f>
        <v>370.83928856186486</v>
      </c>
      <c r="AH62" s="164">
        <f t="shared" si="9"/>
        <v>20.36232992301678</v>
      </c>
      <c r="AI62" s="155">
        <f t="shared" si="10"/>
        <v>2.8091428233675449E-3</v>
      </c>
      <c r="AJ62" s="127">
        <f>IF(AI62="","",AI62*R62*(D62-_xlfn.IFNA(VLOOKUP(T62,Søer!$B$9:$C$208,2,FALSE),0)))</f>
        <v>0.96759372554362677</v>
      </c>
      <c r="AK62" s="127">
        <f>IFERROR(161.6 * Søer!$D$3^(-0.961)*VLOOKUP(T62,Søer!$B$9:$D$208,3,FALSE)^(-1.154)*VLOOKUP(T62,Søer!$B$9:$D$208,2,FALSE),0)</f>
        <v>0</v>
      </c>
    </row>
    <row r="63" spans="2:37" ht="18" customHeight="1" thickBot="1">
      <c r="B63" s="6"/>
      <c r="C63" s="119">
        <v>23</v>
      </c>
      <c r="D63" s="120">
        <v>0.99</v>
      </c>
      <c r="E63" s="180" t="s">
        <v>33</v>
      </c>
      <c r="F63" s="181"/>
      <c r="G63" s="180" t="s">
        <v>44</v>
      </c>
      <c r="H63" s="182"/>
      <c r="I63" s="181"/>
      <c r="J63" s="121">
        <f t="shared" si="0"/>
        <v>906.43282946145575</v>
      </c>
      <c r="K63" s="120">
        <v>1</v>
      </c>
      <c r="L63" s="173" t="s">
        <v>855</v>
      </c>
      <c r="M63" s="174"/>
      <c r="N63" s="122">
        <v>0.5</v>
      </c>
      <c r="O63" s="123" t="s">
        <v>23</v>
      </c>
      <c r="P63" s="124">
        <f t="shared" si="1"/>
        <v>1</v>
      </c>
      <c r="Q63" s="125">
        <f t="shared" si="2"/>
        <v>1</v>
      </c>
      <c r="R63" s="126">
        <f t="shared" si="3"/>
        <v>906.43282946145575</v>
      </c>
      <c r="S63" s="20"/>
      <c r="T63" s="66">
        <f t="shared" si="4"/>
        <v>23</v>
      </c>
      <c r="U63" s="175">
        <v>0.251</v>
      </c>
      <c r="V63" s="176"/>
      <c r="W63" s="177"/>
      <c r="X63" s="81">
        <v>0.29499999999999998</v>
      </c>
      <c r="Y63" s="178">
        <f t="shared" si="11"/>
        <v>2.35E-2</v>
      </c>
      <c r="Z63" s="179"/>
      <c r="AA63" s="68">
        <f t="shared" si="5"/>
        <v>490.41766844192995</v>
      </c>
      <c r="AB63" s="67" t="s">
        <v>879</v>
      </c>
      <c r="AC63" s="68" t="s">
        <v>903</v>
      </c>
      <c r="AD63" s="69">
        <f t="shared" si="6"/>
        <v>10.659681760342234</v>
      </c>
      <c r="AE63" s="105">
        <f t="shared" si="7"/>
        <v>697.3739245244243</v>
      </c>
      <c r="AF63" s="108">
        <f t="shared" si="8"/>
        <v>690.40018527918005</v>
      </c>
      <c r="AG63" s="149">
        <f>IF(AF63-_xlfn.IFNA(VLOOKUP(T63,Biomassehøst!$B$7:$D$207,3,FALSE),0)&lt;0,0,AF63-_xlfn.IFNA(VLOOKUP(T63,Biomassehøst!$B$7:$D$207,3,FALSE),0))</f>
        <v>690.40018527918005</v>
      </c>
      <c r="AH63" s="164">
        <f t="shared" si="9"/>
        <v>10.659681760342234</v>
      </c>
      <c r="AI63" s="155">
        <f t="shared" si="10"/>
        <v>5.2221766102468299E-3</v>
      </c>
      <c r="AJ63" s="127">
        <f>IF(AI63="","",AI63*R63*(D63-_xlfn.IFNA(VLOOKUP(T63,Søer!$B$9:$C$208,2,FALSE),0)))</f>
        <v>4.6862167975657334</v>
      </c>
      <c r="AK63" s="127">
        <f>IFERROR(161.6 * Søer!$D$3^(-0.961)*VLOOKUP(T63,Søer!$B$9:$D$208,3,FALSE)^(-1.154)*VLOOKUP(T63,Søer!$B$9:$D$208,2,FALSE),0)</f>
        <v>0</v>
      </c>
    </row>
    <row r="64" spans="2:37" ht="18" customHeight="1" thickBot="1">
      <c r="B64" s="6"/>
      <c r="C64" s="119">
        <v>24</v>
      </c>
      <c r="D64" s="120">
        <v>0.39</v>
      </c>
      <c r="E64" s="180" t="s">
        <v>33</v>
      </c>
      <c r="F64" s="181"/>
      <c r="G64" s="180" t="s">
        <v>44</v>
      </c>
      <c r="H64" s="182"/>
      <c r="I64" s="181"/>
      <c r="J64" s="121">
        <f t="shared" si="0"/>
        <v>906.43282946145575</v>
      </c>
      <c r="K64" s="120">
        <v>0.4</v>
      </c>
      <c r="L64" s="173" t="s">
        <v>855</v>
      </c>
      <c r="M64" s="174"/>
      <c r="N64" s="122">
        <v>0.5</v>
      </c>
      <c r="O64" s="123" t="s">
        <v>23</v>
      </c>
      <c r="P64" s="124">
        <f t="shared" si="1"/>
        <v>1</v>
      </c>
      <c r="Q64" s="125">
        <f t="shared" si="2"/>
        <v>1</v>
      </c>
      <c r="R64" s="126">
        <f t="shared" si="3"/>
        <v>906.43282946145575</v>
      </c>
      <c r="S64" s="20"/>
      <c r="T64" s="66">
        <f t="shared" si="4"/>
        <v>24</v>
      </c>
      <c r="U64" s="175">
        <v>0.58699999999999997</v>
      </c>
      <c r="V64" s="176"/>
      <c r="W64" s="177"/>
      <c r="X64" s="81">
        <v>0.29499999999999998</v>
      </c>
      <c r="Y64" s="178">
        <f t="shared" si="11"/>
        <v>2.35E-2</v>
      </c>
      <c r="Z64" s="179"/>
      <c r="AA64" s="68">
        <f t="shared" si="5"/>
        <v>1146.9130333681787</v>
      </c>
      <c r="AB64" s="67" t="s">
        <v>880</v>
      </c>
      <c r="AC64" s="68" t="s">
        <v>900</v>
      </c>
      <c r="AD64" s="69">
        <f t="shared" si="6"/>
        <v>18.344387198764569</v>
      </c>
      <c r="AE64" s="105">
        <f t="shared" si="7"/>
        <v>1331.5660317404554</v>
      </c>
      <c r="AF64" s="108">
        <f t="shared" si="8"/>
        <v>519.31075237877758</v>
      </c>
      <c r="AG64" s="149">
        <f>IF(AF64-_xlfn.IFNA(VLOOKUP(T64,Biomassehøst!$B$7:$D$207,3,FALSE),0)&lt;0,0,AF64-_xlfn.IFNA(VLOOKUP(T64,Biomassehøst!$B$7:$D$207,3,FALSE),0))</f>
        <v>519.31075237877758</v>
      </c>
      <c r="AH64" s="164">
        <f t="shared" si="9"/>
        <v>18.344387198764572</v>
      </c>
      <c r="AI64" s="155">
        <f t="shared" si="10"/>
        <v>3.1045200045162927E-3</v>
      </c>
      <c r="AJ64" s="127">
        <f>IF(AI64="","",AI64*R64*(D64-_xlfn.IFNA(VLOOKUP(T64,Søer!$B$9:$C$208,2,FALSE),0)))</f>
        <v>1.0974751522072239</v>
      </c>
      <c r="AK64" s="127">
        <f>IFERROR(161.6 * Søer!$D$3^(-0.961)*VLOOKUP(T64,Søer!$B$9:$D$208,3,FALSE)^(-1.154)*VLOOKUP(T64,Søer!$B$9:$D$208,2,FALSE),0)</f>
        <v>0</v>
      </c>
    </row>
    <row r="65" spans="2:53">
      <c r="B65" s="6"/>
      <c r="C65" s="10"/>
      <c r="D65" s="65">
        <f>SUM(D$40:D64)</f>
        <v>18.589999999999993</v>
      </c>
      <c r="E65" s="10"/>
      <c r="F65" s="18"/>
      <c r="G65" s="18"/>
      <c r="H65" s="18"/>
      <c r="I65" s="6"/>
      <c r="J65" s="6"/>
      <c r="K65" s="9"/>
      <c r="L65" s="9"/>
      <c r="M65" s="9"/>
      <c r="N65" s="9"/>
      <c r="O65" s="9"/>
      <c r="P65" s="9"/>
      <c r="Q65" s="9"/>
      <c r="R65" s="14"/>
      <c r="S65" s="20"/>
      <c r="T65" s="22"/>
      <c r="U65" s="22"/>
      <c r="V65" s="22"/>
      <c r="W65" s="22"/>
      <c r="X65" s="26"/>
      <c r="Y65" s="22"/>
      <c r="Z65" s="22"/>
      <c r="AA65" s="22"/>
      <c r="AB65" s="22"/>
      <c r="AC65" s="22"/>
      <c r="AD65" s="22"/>
      <c r="AE65" s="22"/>
      <c r="AF65" s="25"/>
      <c r="AG65" s="150">
        <f>Ppulje</f>
        <v>10429.073508922425</v>
      </c>
      <c r="AH65" s="165"/>
      <c r="AI65" s="22"/>
      <c r="AJ65" s="22" t="s">
        <v>99</v>
      </c>
      <c r="AK65" s="22"/>
    </row>
    <row r="66" spans="2:53" ht="15" customHeight="1">
      <c r="B66" s="6"/>
      <c r="C66" s="186" t="s">
        <v>46</v>
      </c>
      <c r="D66" s="186"/>
      <c r="E66" s="186"/>
      <c r="F66" s="186"/>
      <c r="G66" s="39"/>
      <c r="H66" s="185" t="s">
        <v>93</v>
      </c>
      <c r="I66" s="185"/>
      <c r="J66" s="185"/>
      <c r="K66" s="185"/>
      <c r="L66" s="185"/>
      <c r="M66" s="185"/>
      <c r="N66" s="9"/>
      <c r="O66" s="9"/>
      <c r="P66" s="9"/>
      <c r="Q66" s="9"/>
      <c r="R66" s="14"/>
      <c r="S66" s="20"/>
      <c r="T66" s="25"/>
      <c r="U66" s="25"/>
      <c r="V66" s="25"/>
      <c r="W66" s="25"/>
      <c r="X66" s="25"/>
      <c r="Y66" s="25"/>
      <c r="Z66" s="25"/>
      <c r="AA66" s="26"/>
      <c r="AB66" s="25"/>
      <c r="AC66" s="25"/>
      <c r="AD66" s="26"/>
      <c r="AE66" s="27"/>
      <c r="AF66" s="25"/>
      <c r="AG66" s="151"/>
      <c r="AH66" s="166"/>
      <c r="AI66" s="25"/>
      <c r="AJ66" s="25"/>
      <c r="AK66" s="25"/>
    </row>
    <row r="67" spans="2:53" ht="15.75">
      <c r="B67" s="6"/>
      <c r="C67" s="10"/>
      <c r="D67" s="10"/>
      <c r="E67" s="10"/>
      <c r="F67" s="18"/>
      <c r="G67" s="18"/>
      <c r="H67" s="18"/>
      <c r="I67" s="6"/>
      <c r="J67" s="6"/>
      <c r="K67" s="9"/>
      <c r="L67" s="9"/>
      <c r="M67" s="9"/>
      <c r="N67" s="9"/>
      <c r="O67" s="9"/>
      <c r="P67" s="9"/>
      <c r="Q67" s="9"/>
      <c r="R67" s="14"/>
      <c r="S67" s="1"/>
      <c r="T67" s="28" t="s">
        <v>198</v>
      </c>
      <c r="U67" s="28"/>
      <c r="V67" s="25"/>
      <c r="W67" s="25"/>
      <c r="X67" s="28"/>
      <c r="Y67" s="28" t="s">
        <v>193</v>
      </c>
      <c r="Z67" s="28"/>
      <c r="AA67" s="25"/>
      <c r="AB67" s="28"/>
      <c r="AC67" s="28"/>
      <c r="AD67" s="28"/>
      <c r="AE67" s="21"/>
      <c r="AF67" s="28"/>
      <c r="AG67" s="152"/>
      <c r="AH67" s="167"/>
      <c r="AI67" s="28"/>
      <c r="AJ67" s="28"/>
      <c r="AK67" s="28"/>
    </row>
    <row r="68" spans="2:53" ht="15.75">
      <c r="B68" s="6"/>
      <c r="C68" s="10"/>
      <c r="D68" s="10"/>
      <c r="E68" s="10"/>
      <c r="F68" s="18"/>
      <c r="G68" s="18"/>
      <c r="H68" s="18"/>
      <c r="I68" s="6"/>
      <c r="J68" s="6"/>
      <c r="K68" s="9"/>
      <c r="L68" s="9"/>
      <c r="M68" s="9"/>
      <c r="N68" s="9"/>
      <c r="O68" s="9"/>
      <c r="P68" s="9"/>
      <c r="Q68" s="9"/>
      <c r="R68" s="14"/>
      <c r="S68" s="20"/>
      <c r="T68" s="57">
        <f>IF(AJ63="","",SUM(AJ$40:AJ64))</f>
        <v>42.429331234419173</v>
      </c>
      <c r="U68" s="22" t="s">
        <v>17</v>
      </c>
      <c r="V68" s="22"/>
      <c r="W68" s="22"/>
      <c r="X68" s="25"/>
      <c r="Y68" s="188">
        <f>IF(AG63="","",SUM(AG$40:AG64))</f>
        <v>10429.073508922425</v>
      </c>
      <c r="Z68" s="188"/>
      <c r="AA68" s="25" t="s">
        <v>89</v>
      </c>
      <c r="AB68" s="25"/>
      <c r="AC68" s="25"/>
      <c r="AD68" s="25"/>
      <c r="AE68" s="25"/>
      <c r="AF68" s="25"/>
      <c r="AG68" s="151"/>
      <c r="AH68" s="166"/>
      <c r="AI68" s="25"/>
      <c r="AJ68" s="25"/>
      <c r="AK68" s="25"/>
    </row>
    <row r="69" spans="2:53">
      <c r="B69" s="6"/>
      <c r="C69" s="10"/>
      <c r="D69" s="10"/>
      <c r="E69" s="10"/>
      <c r="F69" s="18"/>
      <c r="G69" s="18"/>
      <c r="H69" s="18"/>
      <c r="I69" s="6"/>
      <c r="J69" s="6"/>
      <c r="K69" s="9"/>
      <c r="L69" s="9"/>
      <c r="M69" s="9"/>
      <c r="N69" s="9"/>
      <c r="O69" s="9"/>
      <c r="P69" s="9"/>
      <c r="Q69" s="9"/>
      <c r="R69" s="14"/>
      <c r="S69" s="20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151"/>
      <c r="AH69" s="166"/>
      <c r="AI69" s="25"/>
      <c r="AJ69" s="25"/>
      <c r="AK69" s="25"/>
    </row>
    <row r="70" spans="2:53">
      <c r="B70" s="6"/>
      <c r="C70" s="10"/>
      <c r="D70" s="10"/>
      <c r="E70" s="10"/>
      <c r="F70" s="18"/>
      <c r="G70" s="18"/>
      <c r="H70" s="18"/>
      <c r="I70" s="6"/>
      <c r="J70" s="6"/>
      <c r="K70" s="9"/>
      <c r="L70" s="9"/>
      <c r="M70" s="9"/>
      <c r="N70" s="9"/>
      <c r="O70" s="9"/>
      <c r="P70" s="9"/>
      <c r="Q70" s="9"/>
      <c r="R70" s="14"/>
      <c r="S70" s="20"/>
      <c r="T70" s="25"/>
      <c r="U70" s="25"/>
      <c r="V70" s="25"/>
      <c r="W70" s="25"/>
      <c r="X70" s="25"/>
      <c r="Y70" s="20"/>
      <c r="Z70" s="20"/>
      <c r="AA70" s="20"/>
      <c r="AB70" s="20"/>
      <c r="AC70" s="20"/>
      <c r="AD70" s="20"/>
      <c r="AE70" s="25"/>
      <c r="AF70" s="25"/>
      <c r="AG70" s="151"/>
      <c r="AH70" s="166"/>
      <c r="AI70" s="25"/>
      <c r="AJ70" s="25"/>
      <c r="AK70" s="25"/>
    </row>
    <row r="71" spans="2:53" ht="15.75">
      <c r="B71" s="6"/>
      <c r="C71" s="10"/>
      <c r="D71" s="10"/>
      <c r="E71" s="10"/>
      <c r="F71" s="18"/>
      <c r="G71" s="18"/>
      <c r="H71" s="18"/>
      <c r="I71" s="6"/>
      <c r="J71" s="6"/>
      <c r="K71" s="9"/>
      <c r="L71" s="9"/>
      <c r="M71" s="9"/>
      <c r="N71" s="9"/>
      <c r="O71" s="9"/>
      <c r="P71" s="9"/>
      <c r="Q71" s="9"/>
      <c r="R71" s="14"/>
      <c r="S71" s="20"/>
      <c r="T71" s="29" t="s">
        <v>3</v>
      </c>
      <c r="U71" s="22"/>
      <c r="V71" s="22"/>
      <c r="W71" s="22"/>
      <c r="X71" s="22"/>
      <c r="Y71" s="25"/>
      <c r="Z71" s="25"/>
      <c r="AA71" s="25"/>
      <c r="AB71" s="25"/>
      <c r="AC71" s="25"/>
      <c r="AD71" s="25"/>
      <c r="AE71" s="25"/>
      <c r="AF71" s="25"/>
      <c r="AG71" s="151"/>
      <c r="AH71" s="166"/>
      <c r="AI71" s="25"/>
      <c r="AJ71" s="25"/>
      <c r="AK71" s="25"/>
    </row>
    <row r="72" spans="2:53">
      <c r="B72" s="6"/>
      <c r="C72" s="10"/>
      <c r="D72" s="10"/>
      <c r="E72" s="10"/>
      <c r="F72" s="18"/>
      <c r="G72" s="18"/>
      <c r="H72" s="18"/>
      <c r="I72" s="6"/>
      <c r="J72" s="6"/>
      <c r="K72" s="9"/>
      <c r="L72" s="9"/>
      <c r="M72" s="9"/>
      <c r="N72" s="9"/>
      <c r="O72" s="9"/>
      <c r="P72" s="9"/>
      <c r="Q72" s="9"/>
      <c r="R72" s="14"/>
      <c r="S72" s="20"/>
      <c r="T72" s="22" t="s">
        <v>98</v>
      </c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153"/>
      <c r="AH72" s="168"/>
      <c r="AI72" s="22"/>
      <c r="AJ72" s="22"/>
      <c r="AK72" s="22"/>
    </row>
    <row r="73" spans="2:53">
      <c r="B73" s="6"/>
      <c r="C73" s="10"/>
      <c r="D73" s="10"/>
      <c r="E73" s="10"/>
      <c r="F73" s="18"/>
      <c r="G73" s="18"/>
      <c r="H73" s="18"/>
      <c r="I73" s="6"/>
      <c r="J73" s="6"/>
      <c r="K73" s="9"/>
      <c r="L73" s="9"/>
      <c r="M73" s="9"/>
      <c r="N73" s="9"/>
      <c r="O73" s="9"/>
      <c r="P73" s="9"/>
      <c r="Q73" s="9"/>
      <c r="R73" s="14"/>
      <c r="S73" s="20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153"/>
      <c r="AH73" s="168"/>
      <c r="AI73" s="22"/>
      <c r="AJ73" s="22"/>
      <c r="AK73" s="22"/>
    </row>
    <row r="74" spans="2:53">
      <c r="B74" s="6"/>
      <c r="C74" s="10"/>
      <c r="D74" s="10"/>
      <c r="E74" s="10"/>
      <c r="F74" s="18"/>
      <c r="G74" s="18"/>
      <c r="H74" s="18"/>
      <c r="I74" s="6"/>
      <c r="J74" s="6"/>
      <c r="K74" s="9"/>
      <c r="L74" s="9"/>
      <c r="M74" s="9"/>
      <c r="N74" s="9"/>
      <c r="O74" s="9"/>
      <c r="P74" s="9"/>
      <c r="Q74" s="9"/>
      <c r="R74" s="14"/>
      <c r="S74" s="20"/>
      <c r="T74" s="30" t="s">
        <v>179</v>
      </c>
      <c r="U74" s="31"/>
      <c r="V74" s="31"/>
      <c r="W74" s="22"/>
      <c r="X74" s="22"/>
      <c r="Y74" s="32"/>
      <c r="Z74" s="32"/>
      <c r="AA74" s="22"/>
      <c r="AB74" s="22"/>
      <c r="AC74" s="22"/>
      <c r="AD74" s="22"/>
      <c r="AE74" s="22"/>
      <c r="AF74" s="22"/>
      <c r="AG74" s="153"/>
      <c r="AH74" s="168"/>
      <c r="AI74" s="22"/>
      <c r="AJ74" s="22"/>
      <c r="AK74" s="22"/>
    </row>
    <row r="75" spans="2:53">
      <c r="B75" s="6"/>
      <c r="C75" s="10"/>
      <c r="D75" s="10"/>
      <c r="E75" s="10"/>
      <c r="F75" s="18"/>
      <c r="G75" s="18"/>
      <c r="H75" s="18"/>
      <c r="I75" s="6"/>
      <c r="J75" s="6"/>
      <c r="K75" s="9"/>
      <c r="L75" s="9"/>
      <c r="M75" s="9"/>
      <c r="N75" s="9"/>
      <c r="O75" s="9"/>
      <c r="P75" s="9"/>
      <c r="Q75" s="9"/>
      <c r="R75" s="14"/>
      <c r="S75" s="20"/>
      <c r="T75" s="22" t="s">
        <v>128</v>
      </c>
      <c r="U75" s="22"/>
      <c r="V75" s="22"/>
      <c r="W75" s="22"/>
      <c r="X75" s="46">
        <v>114.4</v>
      </c>
      <c r="Y75" s="22" t="s">
        <v>5</v>
      </c>
      <c r="Z75" s="22"/>
      <c r="AA75" s="55" t="s">
        <v>106</v>
      </c>
      <c r="AB75" s="22"/>
      <c r="AC75" s="22"/>
      <c r="AD75" s="22"/>
      <c r="AE75" s="22"/>
      <c r="AF75" s="25"/>
      <c r="AG75" s="151"/>
      <c r="AH75" s="166"/>
      <c r="AI75" s="25"/>
      <c r="AJ75" s="25"/>
      <c r="AK75" s="25"/>
    </row>
    <row r="76" spans="2:53" ht="15.75">
      <c r="B76" s="6"/>
      <c r="C76" s="10"/>
      <c r="D76" s="10"/>
      <c r="E76" s="10"/>
      <c r="F76" s="18"/>
      <c r="G76" s="18"/>
      <c r="H76" s="18"/>
      <c r="I76" s="6"/>
      <c r="J76" s="6"/>
      <c r="K76" s="9"/>
      <c r="L76" s="9"/>
      <c r="M76" s="9"/>
      <c r="N76" s="9"/>
      <c r="O76" s="9"/>
      <c r="P76" s="9"/>
      <c r="Q76" s="9"/>
      <c r="R76" s="14"/>
      <c r="S76" s="20"/>
      <c r="T76" s="55" t="s">
        <v>196</v>
      </c>
      <c r="U76" s="22"/>
      <c r="V76" s="22"/>
      <c r="W76" s="25"/>
      <c r="X76" s="57">
        <f>IF(X75="","",0.062*X75)</f>
        <v>7.0928000000000004</v>
      </c>
      <c r="Y76" s="22" t="s">
        <v>17</v>
      </c>
      <c r="Z76" s="22"/>
      <c r="AA76" s="22" t="s">
        <v>85</v>
      </c>
      <c r="AB76" s="22"/>
      <c r="AC76" s="22"/>
      <c r="AD76" s="22"/>
      <c r="AE76" s="22"/>
      <c r="AF76" s="25"/>
      <c r="AG76" s="151"/>
      <c r="AH76" s="166"/>
      <c r="AI76" s="25"/>
      <c r="AJ76" s="25"/>
      <c r="AK76" s="25"/>
    </row>
    <row r="77" spans="2:53">
      <c r="B77" s="6"/>
      <c r="C77" s="10"/>
      <c r="D77" s="10"/>
      <c r="E77" s="10"/>
      <c r="F77" s="18"/>
      <c r="G77" s="18"/>
      <c r="H77" s="18"/>
      <c r="I77" s="6"/>
      <c r="J77" s="6"/>
      <c r="K77" s="9"/>
      <c r="L77" s="9"/>
      <c r="M77" s="9"/>
      <c r="N77" s="9"/>
      <c r="O77" s="9"/>
      <c r="P77" s="9"/>
      <c r="Q77" s="9"/>
      <c r="R77" s="14"/>
      <c r="S77" s="20"/>
      <c r="T77" s="60"/>
      <c r="U77" s="60"/>
      <c r="V77" s="60"/>
      <c r="W77" s="60"/>
      <c r="X77" s="61"/>
      <c r="Y77" s="32"/>
      <c r="Z77" s="32"/>
      <c r="AA77" s="22"/>
      <c r="AB77" s="22"/>
      <c r="AC77" s="22"/>
      <c r="AD77" s="22"/>
      <c r="AE77" s="22"/>
      <c r="AF77" s="22"/>
      <c r="AG77" s="153"/>
      <c r="AH77" s="168"/>
      <c r="AI77" s="22"/>
      <c r="AJ77" s="22"/>
      <c r="AK77" s="22"/>
    </row>
    <row r="78" spans="2:53">
      <c r="B78" s="6"/>
      <c r="C78" s="10"/>
      <c r="D78" s="10"/>
      <c r="E78" s="10"/>
      <c r="F78" s="18"/>
      <c r="G78" s="18"/>
      <c r="H78" s="18"/>
      <c r="I78" s="6"/>
      <c r="J78" s="6"/>
      <c r="K78" s="9"/>
      <c r="L78" s="9"/>
      <c r="M78" s="9"/>
      <c r="N78" s="9"/>
      <c r="O78" s="9"/>
      <c r="P78" s="9"/>
      <c r="Q78" s="9"/>
      <c r="R78" s="14"/>
      <c r="S78" s="20"/>
      <c r="T78" s="22"/>
      <c r="U78" s="22"/>
      <c r="V78" s="22"/>
      <c r="W78" s="25"/>
      <c r="X78" s="22"/>
      <c r="Y78" s="22"/>
      <c r="Z78" s="22"/>
      <c r="AA78" s="22"/>
      <c r="AB78" s="22"/>
      <c r="AC78" s="22"/>
      <c r="AD78" s="22"/>
      <c r="AE78" s="22"/>
      <c r="AF78" s="22"/>
      <c r="AG78" s="153"/>
      <c r="AH78" s="168"/>
      <c r="AI78" s="22"/>
      <c r="AJ78" s="22"/>
      <c r="AK78" s="22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</row>
    <row r="79" spans="2:53">
      <c r="B79" s="6"/>
      <c r="C79" s="10"/>
      <c r="D79" s="10"/>
      <c r="E79" s="10"/>
      <c r="F79" s="18"/>
      <c r="G79" s="18"/>
      <c r="H79" s="18"/>
      <c r="I79" s="6"/>
      <c r="J79" s="6"/>
      <c r="K79" s="9"/>
      <c r="L79" s="9"/>
      <c r="M79" s="9"/>
      <c r="N79" s="9"/>
      <c r="O79" s="9"/>
      <c r="P79" s="9"/>
      <c r="Q79" s="9"/>
      <c r="R79" s="14"/>
      <c r="S79" s="20"/>
      <c r="T79" s="30" t="s">
        <v>178</v>
      </c>
      <c r="U79" s="31"/>
      <c r="V79" s="31"/>
      <c r="W79" s="25"/>
      <c r="X79" s="22"/>
      <c r="Y79" s="22"/>
      <c r="Z79" s="22"/>
      <c r="AA79" s="22"/>
      <c r="AB79" s="22"/>
      <c r="AC79" s="22"/>
      <c r="AD79" s="22"/>
      <c r="AE79" s="22"/>
      <c r="AF79" s="22"/>
      <c r="AG79" s="153"/>
      <c r="AH79" s="168"/>
      <c r="AI79" s="22"/>
      <c r="AJ79" s="22"/>
      <c r="AK79" s="22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</row>
    <row r="80" spans="2:53">
      <c r="B80" s="6"/>
      <c r="C80" s="10"/>
      <c r="D80" s="10"/>
      <c r="E80" s="10"/>
      <c r="F80" s="18"/>
      <c r="G80" s="18"/>
      <c r="H80" s="18"/>
      <c r="I80" s="6"/>
      <c r="J80" s="6"/>
      <c r="K80" s="9"/>
      <c r="L80" s="9"/>
      <c r="M80" s="9"/>
      <c r="N80" s="9"/>
      <c r="O80" s="9"/>
      <c r="P80" s="9"/>
      <c r="Q80" s="9"/>
      <c r="R80" s="14"/>
      <c r="S80" s="20"/>
      <c r="T80" s="22" t="s">
        <v>8</v>
      </c>
      <c r="U80" s="22"/>
      <c r="V80" s="22"/>
      <c r="W80" s="25"/>
      <c r="X80" s="46"/>
      <c r="Y80" s="22"/>
      <c r="Z80" s="2"/>
      <c r="AA80" s="2"/>
      <c r="AB80" s="22"/>
      <c r="AC80" s="22"/>
      <c r="AD80" s="2"/>
      <c r="AE80" s="22"/>
      <c r="AF80" s="22"/>
      <c r="AG80" s="153"/>
      <c r="AH80" s="168"/>
      <c r="AI80" s="22"/>
      <c r="AJ80" s="22"/>
      <c r="AK80" s="22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</row>
    <row r="81" spans="1:53" ht="17.25">
      <c r="B81" s="6"/>
      <c r="C81" s="10"/>
      <c r="D81" s="10"/>
      <c r="E81" s="10"/>
      <c r="F81" s="18"/>
      <c r="G81" s="18"/>
      <c r="H81" s="18"/>
      <c r="I81" s="6"/>
      <c r="J81" s="6"/>
      <c r="K81" s="9"/>
      <c r="L81" s="9"/>
      <c r="M81" s="9"/>
      <c r="N81" s="9"/>
      <c r="O81" s="9"/>
      <c r="P81" s="9"/>
      <c r="Q81" s="9"/>
      <c r="R81" s="14"/>
      <c r="S81" s="20"/>
      <c r="T81" s="2" t="s">
        <v>72</v>
      </c>
      <c r="U81" s="22"/>
      <c r="V81" s="22"/>
      <c r="W81" s="25"/>
      <c r="X81" s="2"/>
      <c r="Y81" s="22"/>
      <c r="Z81" s="2"/>
      <c r="AA81" s="2"/>
      <c r="AB81" s="22"/>
      <c r="AC81" s="22"/>
      <c r="AD81" s="2"/>
      <c r="AE81" s="22"/>
      <c r="AF81" s="22"/>
      <c r="AG81" s="153"/>
      <c r="AH81" s="168"/>
      <c r="AI81" s="22"/>
      <c r="AJ81" s="22"/>
      <c r="AK81" s="22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</row>
    <row r="82" spans="1:53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9"/>
      <c r="P82" s="6"/>
      <c r="Q82" s="6"/>
      <c r="R82" s="6"/>
      <c r="S82" s="20"/>
      <c r="T82" s="2" t="s">
        <v>71</v>
      </c>
      <c r="U82" s="22"/>
      <c r="V82" s="22"/>
      <c r="W82" s="25"/>
      <c r="X82" s="2"/>
      <c r="Y82" s="22"/>
      <c r="Z82" s="2"/>
      <c r="AA82" s="2"/>
      <c r="AB82" s="22"/>
      <c r="AC82" s="22"/>
      <c r="AD82" s="2"/>
      <c r="AE82" s="22"/>
      <c r="AF82" s="22"/>
      <c r="AG82" s="153"/>
      <c r="AH82" s="168"/>
      <c r="AI82" s="22"/>
      <c r="AJ82" s="22"/>
      <c r="AK82" s="2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</row>
    <row r="83" spans="1:53">
      <c r="B83" s="6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6"/>
      <c r="Q83" s="6"/>
      <c r="R83" s="6"/>
      <c r="S83" s="20"/>
      <c r="T83" s="2" t="s">
        <v>70</v>
      </c>
      <c r="U83" s="22"/>
      <c r="V83" s="22"/>
      <c r="W83" s="25"/>
      <c r="X83" s="2"/>
      <c r="Y83" s="22"/>
      <c r="Z83" s="2"/>
      <c r="AA83" s="2"/>
      <c r="AB83" s="22"/>
      <c r="AC83" s="22"/>
      <c r="AD83" s="2"/>
      <c r="AE83" s="22"/>
      <c r="AF83" s="22"/>
      <c r="AG83" s="153"/>
      <c r="AH83" s="168"/>
      <c r="AI83" s="22"/>
      <c r="AJ83" s="22"/>
      <c r="AK83" s="22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</row>
    <row r="84" spans="1:53">
      <c r="B84" s="6"/>
      <c r="C84" s="19"/>
      <c r="D84" s="19"/>
      <c r="E84" s="19"/>
      <c r="F84" s="9"/>
      <c r="G84" s="9"/>
      <c r="H84" s="9"/>
      <c r="I84" s="9"/>
      <c r="J84" s="9"/>
      <c r="K84" s="9"/>
      <c r="L84" s="9"/>
      <c r="M84" s="9"/>
      <c r="N84" s="9"/>
      <c r="O84" s="9"/>
      <c r="P84" s="6"/>
      <c r="Q84" s="6"/>
      <c r="R84" s="6"/>
      <c r="S84" s="20"/>
      <c r="T84" s="22"/>
      <c r="U84" s="22"/>
      <c r="V84" s="22"/>
      <c r="W84" s="25"/>
      <c r="X84" s="22"/>
      <c r="Y84" s="22"/>
      <c r="Z84" s="2"/>
      <c r="AA84" s="2"/>
      <c r="AB84" s="22"/>
      <c r="AC84" s="22"/>
      <c r="AD84" s="2"/>
      <c r="AE84" s="22"/>
      <c r="AF84" s="22"/>
      <c r="AG84" s="153"/>
      <c r="AH84" s="168"/>
      <c r="AI84" s="22"/>
      <c r="AJ84" s="22"/>
      <c r="AK84" s="22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</row>
    <row r="85" spans="1:53">
      <c r="B85" s="6"/>
      <c r="C85" s="10"/>
      <c r="D85" s="10"/>
      <c r="E85" s="10"/>
      <c r="F85" s="202"/>
      <c r="G85" s="202"/>
      <c r="H85" s="202"/>
      <c r="I85" s="6"/>
      <c r="J85" s="6"/>
      <c r="K85" s="6"/>
      <c r="L85" s="6"/>
      <c r="M85" s="6"/>
      <c r="N85" s="6"/>
      <c r="O85" s="6"/>
      <c r="P85" s="6"/>
      <c r="Q85" s="6"/>
      <c r="R85" s="6"/>
      <c r="S85" s="20"/>
      <c r="T85" s="22" t="s">
        <v>84</v>
      </c>
      <c r="U85" s="22"/>
      <c r="V85" s="22"/>
      <c r="W85" s="25"/>
      <c r="X85" s="22"/>
      <c r="Y85" s="22"/>
      <c r="Z85" s="25" t="str">
        <f>IF($X$80="","",IF($X$80=1,25,IF($X$80=2,75,100)))</f>
        <v/>
      </c>
      <c r="AA85" s="33" t="s">
        <v>120</v>
      </c>
      <c r="AB85" s="22"/>
      <c r="AC85" s="22"/>
      <c r="AD85" s="2"/>
      <c r="AE85" s="22"/>
      <c r="AF85" s="22"/>
      <c r="AG85" s="153"/>
      <c r="AH85" s="168"/>
      <c r="AI85" s="22"/>
      <c r="AJ85" s="22"/>
      <c r="AK85" s="22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</row>
    <row r="86" spans="1:53" ht="16.5" customHeight="1">
      <c r="B86" s="6"/>
      <c r="C86" s="10"/>
      <c r="D86" s="10"/>
      <c r="E86" s="10"/>
      <c r="F86" s="18"/>
      <c r="G86" s="18"/>
      <c r="H86" s="18"/>
      <c r="I86" s="6"/>
      <c r="J86" s="6"/>
      <c r="K86" s="9"/>
      <c r="L86" s="9"/>
      <c r="M86" s="9"/>
      <c r="N86" s="9"/>
      <c r="O86" s="9"/>
      <c r="P86" s="9"/>
      <c r="Q86" s="9"/>
      <c r="R86" s="9"/>
      <c r="S86" s="20"/>
      <c r="T86" s="22" t="s">
        <v>101</v>
      </c>
      <c r="U86" s="22"/>
      <c r="V86" s="22"/>
      <c r="W86" s="25"/>
      <c r="X86" s="33"/>
      <c r="Y86" s="33"/>
      <c r="Z86" s="33"/>
      <c r="AA86" s="33"/>
      <c r="AB86" s="33"/>
      <c r="AC86" s="33"/>
      <c r="AD86" s="33"/>
      <c r="AE86" s="33"/>
      <c r="AF86" s="22"/>
      <c r="AG86" s="153"/>
      <c r="AH86" s="168"/>
      <c r="AI86" s="22"/>
      <c r="AJ86" s="22"/>
      <c r="AK86" s="22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</row>
    <row r="87" spans="1:53">
      <c r="B87" s="6"/>
      <c r="C87" s="10"/>
      <c r="D87" s="10"/>
      <c r="E87" s="10"/>
      <c r="F87" s="18"/>
      <c r="G87" s="18"/>
      <c r="H87" s="18"/>
      <c r="I87" s="6"/>
      <c r="J87" s="6"/>
      <c r="K87" s="9"/>
      <c r="L87" s="9"/>
      <c r="M87" s="9"/>
      <c r="N87" s="9"/>
      <c r="O87" s="9"/>
      <c r="P87" s="9"/>
      <c r="Q87" s="9"/>
      <c r="R87" s="9"/>
      <c r="S87" s="20"/>
      <c r="T87" s="22"/>
      <c r="U87" s="22"/>
      <c r="V87" s="22"/>
      <c r="W87" s="25"/>
      <c r="X87" s="33"/>
      <c r="Y87" s="33"/>
      <c r="Z87" s="33"/>
      <c r="AA87" s="33"/>
      <c r="AB87" s="33"/>
      <c r="AC87" s="33"/>
      <c r="AD87" s="33"/>
      <c r="AE87" s="33"/>
      <c r="AF87" s="22"/>
      <c r="AG87" s="153"/>
      <c r="AH87" s="168"/>
      <c r="AI87" s="22"/>
      <c r="AJ87" s="22"/>
      <c r="AK87" s="22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</row>
    <row r="88" spans="1:53">
      <c r="B88" s="6"/>
      <c r="C88" s="10"/>
      <c r="D88" s="10"/>
      <c r="E88" s="10"/>
      <c r="F88" s="18"/>
      <c r="G88" s="18"/>
      <c r="H88" s="18"/>
      <c r="I88" s="6"/>
      <c r="J88" s="6"/>
      <c r="K88" s="9"/>
      <c r="L88" s="9"/>
      <c r="M88" s="9"/>
      <c r="N88" s="9"/>
      <c r="O88" s="9"/>
      <c r="P88" s="9"/>
      <c r="Q88" s="9"/>
      <c r="R88" s="9"/>
      <c r="S88" s="20"/>
      <c r="T88" s="55" t="s">
        <v>100</v>
      </c>
      <c r="U88" s="22"/>
      <c r="V88" s="22"/>
      <c r="W88" s="25"/>
      <c r="X88" s="33"/>
      <c r="Y88" s="33"/>
      <c r="Z88" s="33"/>
      <c r="AA88" s="33"/>
      <c r="AB88" s="33"/>
      <c r="AC88" s="33"/>
      <c r="AD88" s="33"/>
      <c r="AE88" s="33"/>
      <c r="AF88" s="22"/>
      <c r="AG88" s="153"/>
      <c r="AH88" s="168"/>
      <c r="AI88" s="22"/>
      <c r="AJ88" s="22"/>
      <c r="AK88" s="22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</row>
    <row r="89" spans="1:53">
      <c r="B89" s="6"/>
      <c r="C89" s="10"/>
      <c r="D89" s="10"/>
      <c r="E89" s="10"/>
      <c r="F89" s="18"/>
      <c r="G89" s="18"/>
      <c r="H89" s="18"/>
      <c r="I89" s="6"/>
      <c r="J89" s="6"/>
      <c r="K89" s="9"/>
      <c r="L89" s="9"/>
      <c r="M89" s="9"/>
      <c r="N89" s="9"/>
      <c r="O89" s="9"/>
      <c r="P89" s="9"/>
      <c r="Q89" s="9"/>
      <c r="R89" s="9"/>
      <c r="S89" s="20"/>
      <c r="T89" s="22" t="s">
        <v>81</v>
      </c>
      <c r="U89" s="22"/>
      <c r="V89" s="22"/>
      <c r="W89" s="25"/>
      <c r="X89" s="46"/>
      <c r="Y89" s="33" t="s">
        <v>82</v>
      </c>
      <c r="Z89" s="33" t="s">
        <v>87</v>
      </c>
      <c r="AA89" s="33"/>
      <c r="AB89" s="33"/>
      <c r="AC89" s="33"/>
      <c r="AD89" s="33"/>
      <c r="AE89" s="33"/>
      <c r="AF89" s="22"/>
      <c r="AG89" s="153"/>
      <c r="AH89" s="168"/>
      <c r="AI89" s="22"/>
      <c r="AJ89" s="22"/>
      <c r="AK89" s="22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</row>
    <row r="90" spans="1:53">
      <c r="S90" s="20"/>
      <c r="T90" s="22" t="s">
        <v>83</v>
      </c>
      <c r="U90" s="22"/>
      <c r="V90" s="22"/>
      <c r="W90" s="25"/>
      <c r="X90" s="46"/>
      <c r="Y90" s="33" t="s">
        <v>82</v>
      </c>
      <c r="Z90" s="53" t="str">
        <f>IF(X90&gt;Z85,"Større end den maksimale bredde for denne type vandløb","")</f>
        <v/>
      </c>
      <c r="AA90" s="33"/>
      <c r="AB90" s="33"/>
      <c r="AC90" s="33"/>
      <c r="AD90" s="33"/>
      <c r="AE90" s="33"/>
      <c r="AF90" s="22"/>
      <c r="AG90" s="153"/>
      <c r="AH90" s="168"/>
      <c r="AI90" s="22"/>
      <c r="AJ90" s="22"/>
      <c r="AK90" s="22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</row>
    <row r="91" spans="1:53">
      <c r="S91" s="20"/>
      <c r="T91" s="22" t="s">
        <v>6</v>
      </c>
      <c r="U91" s="22"/>
      <c r="V91" s="22"/>
      <c r="W91" s="25"/>
      <c r="X91" s="57" t="str">
        <f>IF(X90="","",X89*X90/10000)</f>
        <v/>
      </c>
      <c r="Y91" s="22" t="s">
        <v>5</v>
      </c>
      <c r="Z91" s="33"/>
      <c r="AA91" s="33"/>
      <c r="AB91" s="33"/>
      <c r="AC91" s="22"/>
      <c r="AD91" s="2"/>
      <c r="AE91" s="22"/>
      <c r="AF91" s="22"/>
      <c r="AG91" s="153"/>
      <c r="AH91" s="168"/>
      <c r="AI91" s="22"/>
      <c r="AJ91" s="22"/>
      <c r="AK91" s="22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</row>
    <row r="92" spans="1:53">
      <c r="S92" s="20"/>
      <c r="T92" s="22"/>
      <c r="U92" s="22"/>
      <c r="V92" s="22"/>
      <c r="W92" s="25"/>
      <c r="X92" s="33"/>
      <c r="Y92" s="22"/>
      <c r="Z92" s="33"/>
      <c r="AA92" s="33"/>
      <c r="AB92" s="33"/>
      <c r="AC92" s="22"/>
      <c r="AD92" s="2"/>
      <c r="AE92" s="22"/>
      <c r="AF92" s="22"/>
      <c r="AG92" s="153"/>
      <c r="AH92" s="168"/>
      <c r="AI92" s="22"/>
      <c r="AJ92" s="22"/>
      <c r="AK92" s="2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</row>
    <row r="93" spans="1:53">
      <c r="S93" s="20"/>
      <c r="T93" s="55" t="s">
        <v>88</v>
      </c>
      <c r="U93" s="55"/>
      <c r="V93" s="55"/>
      <c r="W93" s="55"/>
      <c r="X93" s="56"/>
      <c r="Y93" s="55"/>
      <c r="Z93" s="56"/>
      <c r="AA93" s="56"/>
      <c r="AB93" s="33"/>
      <c r="AC93" s="22"/>
      <c r="AD93" s="2"/>
      <c r="AE93" s="22"/>
      <c r="AF93" s="33"/>
      <c r="AG93" s="154"/>
      <c r="AH93" s="169"/>
      <c r="AI93" s="22"/>
      <c r="AJ93" s="22"/>
      <c r="AK93" s="22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</row>
    <row r="94" spans="1:53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20"/>
      <c r="T94" s="22" t="s">
        <v>88</v>
      </c>
      <c r="U94" s="22"/>
      <c r="V94" s="22"/>
      <c r="W94" s="22"/>
      <c r="X94" s="46"/>
      <c r="Y94" s="22" t="s">
        <v>5</v>
      </c>
      <c r="Z94" s="33"/>
      <c r="AA94" s="33"/>
      <c r="AB94" s="33"/>
      <c r="AC94" s="22"/>
      <c r="AD94" s="2"/>
      <c r="AE94" s="22"/>
      <c r="AF94" s="33"/>
      <c r="AG94" s="154"/>
      <c r="AH94" s="169"/>
      <c r="AI94" s="22"/>
      <c r="AJ94" s="22"/>
      <c r="AK94" s="22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</row>
    <row r="95" spans="1:5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20"/>
      <c r="T95" s="22"/>
      <c r="U95" s="22"/>
      <c r="V95" s="22"/>
      <c r="W95" s="22"/>
      <c r="X95" s="33"/>
      <c r="Y95" s="22"/>
      <c r="Z95" s="33"/>
      <c r="AA95" s="33"/>
      <c r="AB95" s="33"/>
      <c r="AC95" s="22"/>
      <c r="AD95" s="2"/>
      <c r="AE95" s="22"/>
      <c r="AF95" s="33"/>
      <c r="AG95" s="154"/>
      <c r="AH95" s="169"/>
      <c r="AI95" s="22"/>
      <c r="AJ95" s="22"/>
      <c r="AK95" s="22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</row>
    <row r="96" spans="1:53" ht="15.7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20"/>
      <c r="T96" s="22" t="s">
        <v>7</v>
      </c>
      <c r="U96" s="22"/>
      <c r="V96" s="22"/>
      <c r="W96" s="22"/>
      <c r="X96" s="46"/>
      <c r="Y96" s="22" t="s">
        <v>194</v>
      </c>
      <c r="Z96" s="33" t="s">
        <v>831</v>
      </c>
      <c r="AA96" s="33"/>
      <c r="AB96" s="33"/>
      <c r="AC96" s="22"/>
      <c r="AD96" s="22"/>
      <c r="AE96" s="22"/>
      <c r="AF96" s="33"/>
      <c r="AG96" s="154"/>
      <c r="AH96" s="169"/>
      <c r="AI96" s="22"/>
      <c r="AJ96" s="22"/>
      <c r="AK96" s="22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</row>
    <row r="97" spans="19:37" customFormat="1">
      <c r="S97" s="20"/>
      <c r="T97" s="22"/>
      <c r="U97" s="22"/>
      <c r="V97" s="22"/>
      <c r="W97" s="25"/>
      <c r="X97" s="22"/>
      <c r="Y97" s="22"/>
      <c r="Z97" s="22"/>
      <c r="AA97" s="22"/>
      <c r="AB97" s="22"/>
      <c r="AC97" s="22"/>
      <c r="AD97" s="22"/>
      <c r="AE97" s="22"/>
      <c r="AF97" s="22"/>
      <c r="AG97" s="153"/>
      <c r="AH97" s="168"/>
      <c r="AI97" s="22"/>
      <c r="AJ97" s="22"/>
      <c r="AK97" s="22"/>
    </row>
    <row r="98" spans="19:37" customFormat="1">
      <c r="S98" s="20"/>
      <c r="T98" s="22" t="s">
        <v>9</v>
      </c>
      <c r="U98" s="22"/>
      <c r="V98" s="22"/>
      <c r="W98" s="25"/>
      <c r="X98" s="22"/>
      <c r="Y98" s="22"/>
      <c r="Z98" s="22"/>
      <c r="AA98" s="22"/>
      <c r="AB98" s="22"/>
      <c r="AC98" s="22"/>
      <c r="AD98" s="22"/>
      <c r="AE98" s="22"/>
      <c r="AF98" s="22"/>
      <c r="AG98" s="153"/>
      <c r="AH98" s="168"/>
      <c r="AI98" s="22"/>
      <c r="AJ98" s="22"/>
      <c r="AK98" s="22"/>
    </row>
    <row r="99" spans="19:37" customFormat="1" ht="15.75">
      <c r="S99" s="20"/>
      <c r="T99" s="22" t="s">
        <v>10</v>
      </c>
      <c r="U99" s="22"/>
      <c r="V99" s="22"/>
      <c r="W99" s="25"/>
      <c r="X99" s="49" t="str">
        <f>IF(X80="","",G28)</f>
        <v/>
      </c>
      <c r="Y99" s="22" t="s">
        <v>18</v>
      </c>
      <c r="Z99" s="22"/>
      <c r="AA99" s="22"/>
      <c r="AB99" s="22"/>
      <c r="AC99" s="22"/>
      <c r="AD99" s="22"/>
      <c r="AE99" s="22"/>
      <c r="AF99" s="22"/>
      <c r="AG99" s="153"/>
      <c r="AH99" s="168"/>
      <c r="AI99" s="22"/>
      <c r="AJ99" s="22"/>
      <c r="AK99" s="22"/>
    </row>
    <row r="100" spans="19:37" customFormat="1" ht="15.75">
      <c r="S100" s="20"/>
      <c r="T100" s="22" t="s">
        <v>19</v>
      </c>
      <c r="U100" s="22"/>
      <c r="V100" s="22"/>
      <c r="W100" s="25"/>
      <c r="X100" s="49" t="str">
        <f>IF(X99="","",(1-G33)*X99)</f>
        <v/>
      </c>
      <c r="Y100" s="22" t="s">
        <v>18</v>
      </c>
      <c r="Z100" s="22"/>
      <c r="AA100" s="22"/>
      <c r="AB100" s="22"/>
      <c r="AC100" s="22"/>
      <c r="AD100" s="22"/>
      <c r="AE100" s="22"/>
      <c r="AF100" s="22"/>
      <c r="AG100" s="153"/>
      <c r="AH100" s="168"/>
      <c r="AI100" s="22"/>
      <c r="AJ100" s="22"/>
      <c r="AK100" s="22"/>
    </row>
    <row r="101" spans="19:37" customFormat="1">
      <c r="S101" s="20"/>
      <c r="T101" s="22" t="s">
        <v>117</v>
      </c>
      <c r="U101" s="22"/>
      <c r="V101" s="22"/>
      <c r="W101" s="25"/>
      <c r="X101" s="57">
        <f>IFERROR(DMI!V29,"")</f>
        <v>27.565288617467328</v>
      </c>
      <c r="Y101" s="22" t="s">
        <v>38</v>
      </c>
      <c r="Z101" s="22"/>
      <c r="AA101" s="22"/>
      <c r="AB101" s="22"/>
      <c r="AC101" s="22"/>
      <c r="AD101" s="22"/>
      <c r="AE101" s="22"/>
      <c r="AF101" s="22"/>
      <c r="AG101" s="153"/>
      <c r="AH101" s="168"/>
      <c r="AI101" s="22"/>
      <c r="AJ101" s="22"/>
      <c r="AK101" s="22"/>
    </row>
    <row r="102" spans="19:37" customFormat="1">
      <c r="S102" s="20"/>
      <c r="T102" s="22" t="s">
        <v>118</v>
      </c>
      <c r="U102" s="22"/>
      <c r="V102" s="22"/>
      <c r="W102" s="25"/>
      <c r="X102" s="57">
        <f>IFERROR(DMI!X29,"")</f>
        <v>62.066098770337163</v>
      </c>
      <c r="Y102" s="22" t="s">
        <v>38</v>
      </c>
      <c r="Z102" s="22"/>
      <c r="AA102" s="22"/>
      <c r="AB102" s="22"/>
      <c r="AC102" s="22"/>
      <c r="AD102" s="22"/>
      <c r="AE102" s="22"/>
      <c r="AF102" s="22"/>
      <c r="AG102" s="153"/>
      <c r="AH102" s="168"/>
      <c r="AI102" s="22"/>
      <c r="AJ102" s="22"/>
      <c r="AK102" s="22"/>
    </row>
    <row r="103" spans="19:37" customFormat="1">
      <c r="S103" s="20"/>
      <c r="T103" s="22" t="s">
        <v>14</v>
      </c>
      <c r="U103" s="22"/>
      <c r="V103" s="22"/>
      <c r="W103" s="25"/>
      <c r="X103" s="46"/>
      <c r="Y103" s="22" t="s">
        <v>11</v>
      </c>
      <c r="Z103" s="22"/>
      <c r="AA103" s="22"/>
      <c r="AB103" s="22"/>
      <c r="AC103" s="22"/>
      <c r="AD103" s="22"/>
      <c r="AE103" s="22"/>
      <c r="AF103" s="22"/>
      <c r="AG103" s="153"/>
      <c r="AH103" s="168"/>
      <c r="AI103" s="22"/>
      <c r="AJ103" s="22"/>
      <c r="AK103" s="22"/>
    </row>
    <row r="104" spans="19:37" customFormat="1">
      <c r="S104" s="20"/>
      <c r="T104" s="22" t="s">
        <v>119</v>
      </c>
      <c r="U104" s="22"/>
      <c r="V104" s="22"/>
      <c r="W104" s="25"/>
      <c r="X104" s="57">
        <f>IFERROR(DMI!W29,"")</f>
        <v>3.8373999616260006</v>
      </c>
      <c r="Y104" s="22" t="s">
        <v>38</v>
      </c>
      <c r="Z104" s="22"/>
      <c r="AA104" s="22" t="s">
        <v>129</v>
      </c>
      <c r="AB104" s="22"/>
      <c r="AC104" s="22"/>
      <c r="AD104" s="22"/>
      <c r="AE104" s="22"/>
      <c r="AF104" s="22"/>
      <c r="AG104" s="153"/>
      <c r="AH104" s="168"/>
      <c r="AI104" s="22"/>
      <c r="AJ104" s="22"/>
      <c r="AK104" s="22"/>
    </row>
    <row r="105" spans="19:37" customFormat="1" ht="15.75">
      <c r="S105" s="20"/>
      <c r="T105" s="22" t="s">
        <v>12</v>
      </c>
      <c r="U105" s="22"/>
      <c r="V105" s="22"/>
      <c r="W105" s="25"/>
      <c r="X105" s="62" t="e">
        <f>IF(X104="","",1.09*EXP(-7.6634+0.9208*LN(X100)+0.0229*X102+0.0092*X101+0.0187*X103-0.0412*X104))</f>
        <v>#VALUE!</v>
      </c>
      <c r="Y105" s="22" t="s">
        <v>20</v>
      </c>
      <c r="Z105" s="22"/>
      <c r="AA105" s="22"/>
      <c r="AB105" s="22"/>
      <c r="AC105" s="22"/>
      <c r="AD105" s="22"/>
      <c r="AE105" s="22"/>
      <c r="AF105" s="22"/>
      <c r="AG105" s="153"/>
      <c r="AH105" s="168"/>
      <c r="AI105" s="22"/>
      <c r="AJ105" s="22"/>
      <c r="AK105" s="22"/>
    </row>
    <row r="106" spans="19:37" customFormat="1" ht="15.75">
      <c r="S106" s="20"/>
      <c r="T106" s="22" t="s">
        <v>109</v>
      </c>
      <c r="U106" s="22"/>
      <c r="V106" s="22"/>
      <c r="W106" s="25"/>
      <c r="X106" s="57" t="e">
        <f>IF(X108="","",IF(AND(X91="",X94=""),"angiv areal",IF(X94="",X96*X108*X91,X96*X108*X94)))</f>
        <v>#VALUE!</v>
      </c>
      <c r="Y106" s="22" t="s">
        <v>17</v>
      </c>
      <c r="Z106" s="22"/>
      <c r="AA106" s="22" t="s">
        <v>124</v>
      </c>
      <c r="AB106" s="22"/>
      <c r="AC106" s="22"/>
      <c r="AD106" s="22"/>
      <c r="AE106" s="22"/>
      <c r="AF106" s="22"/>
      <c r="AG106" s="153"/>
      <c r="AH106" s="168"/>
      <c r="AI106" s="22"/>
      <c r="AJ106" s="22"/>
      <c r="AK106" s="22"/>
    </row>
    <row r="107" spans="19:37" customFormat="1" ht="15.75">
      <c r="S107" s="20"/>
      <c r="T107" s="22" t="s">
        <v>121</v>
      </c>
      <c r="U107" s="22"/>
      <c r="V107" s="22"/>
      <c r="W107" s="25"/>
      <c r="X107" s="57" t="e">
        <f>IF(OR(X105="",Fosfordeponi=0),"",IF(AND(X91="",X94=""),"angiv areal", X105*G13*0.1))</f>
        <v>#VALUE!</v>
      </c>
      <c r="Y107" s="22" t="s">
        <v>17</v>
      </c>
      <c r="Z107" s="22"/>
      <c r="AA107" s="22" t="s">
        <v>127</v>
      </c>
      <c r="AB107" s="22"/>
      <c r="AC107" s="22"/>
      <c r="AD107" s="22"/>
      <c r="AE107" s="22"/>
      <c r="AF107" s="22"/>
      <c r="AG107" s="153"/>
      <c r="AH107" s="168"/>
      <c r="AI107" s="22"/>
      <c r="AJ107" s="22"/>
      <c r="AK107" s="22"/>
    </row>
    <row r="108" spans="19:37" customFormat="1" ht="15.75">
      <c r="S108" s="20"/>
      <c r="T108" s="22" t="s">
        <v>13</v>
      </c>
      <c r="U108" s="22"/>
      <c r="V108" s="22"/>
      <c r="W108" s="25"/>
      <c r="X108" s="62" t="e">
        <f>IF(X105="","",IF( X105&lt;0.14,0.5,IF(AND(X105&gt;=0.14,X105&lt;=0.36),1,1.5)))</f>
        <v>#VALUE!</v>
      </c>
      <c r="Y108" s="22" t="s">
        <v>21</v>
      </c>
      <c r="Z108" s="22"/>
      <c r="AA108" s="22"/>
      <c r="AB108" s="22"/>
      <c r="AC108" s="22"/>
      <c r="AD108" s="22"/>
      <c r="AE108" s="22"/>
      <c r="AF108" s="22"/>
      <c r="AG108" s="153"/>
      <c r="AH108" s="168"/>
      <c r="AI108" s="22"/>
      <c r="AJ108" s="22"/>
      <c r="AK108" s="22"/>
    </row>
    <row r="109" spans="19:37" customFormat="1" ht="15.75">
      <c r="S109" s="20"/>
      <c r="T109" s="55" t="s">
        <v>197</v>
      </c>
      <c r="U109" s="60"/>
      <c r="V109" s="60"/>
      <c r="W109" s="60"/>
      <c r="X109" s="57" t="e">
        <f>IF(X106&gt;X107,X107,X106)</f>
        <v>#VALUE!</v>
      </c>
      <c r="Y109" s="22" t="s">
        <v>17</v>
      </c>
      <c r="Z109" s="32"/>
      <c r="AA109" s="55" t="s">
        <v>123</v>
      </c>
      <c r="AB109" s="22"/>
      <c r="AC109" s="22"/>
      <c r="AD109" s="22"/>
      <c r="AE109" s="22"/>
      <c r="AF109" s="22"/>
      <c r="AG109" s="153"/>
      <c r="AH109" s="168"/>
      <c r="AI109" s="22"/>
      <c r="AJ109" s="22"/>
      <c r="AK109" s="22"/>
    </row>
    <row r="110" spans="19:37" customFormat="1">
      <c r="S110" s="20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153"/>
      <c r="AH110" s="168"/>
      <c r="AI110" s="22"/>
      <c r="AJ110" s="22"/>
      <c r="AK110" s="22"/>
    </row>
    <row r="111" spans="19:37" customFormat="1">
      <c r="S111" s="20"/>
      <c r="T111" s="30"/>
      <c r="U111" s="30"/>
      <c r="V111" s="30"/>
      <c r="W111" s="25"/>
      <c r="X111" s="22"/>
      <c r="Y111" s="22"/>
      <c r="Z111" s="22"/>
      <c r="AA111" s="22"/>
      <c r="AB111" s="22"/>
      <c r="AC111" s="22"/>
      <c r="AD111" s="22"/>
      <c r="AE111" s="22"/>
      <c r="AF111" s="22"/>
      <c r="AG111" s="153"/>
      <c r="AH111" s="168"/>
      <c r="AI111" s="22"/>
      <c r="AJ111" s="22"/>
      <c r="AK111" s="22"/>
    </row>
    <row r="112" spans="19:37" customFormat="1">
      <c r="S112" s="20"/>
      <c r="T112" s="22" t="s">
        <v>105</v>
      </c>
      <c r="U112" s="22"/>
      <c r="V112" s="22"/>
      <c r="W112" s="25"/>
      <c r="X112" s="22"/>
      <c r="Y112" s="22"/>
      <c r="Z112" s="22"/>
      <c r="AA112" s="22"/>
      <c r="AB112" s="33"/>
      <c r="AC112" s="22"/>
      <c r="AD112" s="22"/>
      <c r="AE112" s="22"/>
      <c r="AF112" s="22"/>
      <c r="AG112" s="153"/>
      <c r="AH112" s="168"/>
      <c r="AI112" s="22"/>
      <c r="AJ112" s="22"/>
      <c r="AK112" s="22"/>
    </row>
    <row r="113" spans="19:37" customFormat="1" ht="15.75">
      <c r="S113" s="20"/>
      <c r="T113" s="55" t="s">
        <v>202</v>
      </c>
      <c r="U113" s="22"/>
      <c r="V113" s="22"/>
      <c r="W113" s="25"/>
      <c r="X113" s="57">
        <f>SUM(AK$40:AK64)</f>
        <v>0</v>
      </c>
      <c r="Y113" s="22" t="s">
        <v>126</v>
      </c>
      <c r="Z113" s="22"/>
      <c r="AA113" s="55" t="s">
        <v>209</v>
      </c>
      <c r="AB113" s="22"/>
      <c r="AC113" s="22"/>
      <c r="AD113" s="22"/>
      <c r="AE113" s="22"/>
      <c r="AF113" s="22"/>
      <c r="AG113" s="153"/>
      <c r="AH113" s="168"/>
      <c r="AI113" s="22"/>
      <c r="AJ113" s="22"/>
      <c r="AK113" s="22"/>
    </row>
    <row r="114" spans="19:37" customFormat="1">
      <c r="S114" s="20"/>
      <c r="T114" s="60"/>
      <c r="U114" s="60"/>
      <c r="V114" s="60"/>
      <c r="W114" s="60"/>
      <c r="X114" s="61"/>
      <c r="Y114" s="32"/>
      <c r="Z114" s="32"/>
      <c r="AA114" s="22"/>
      <c r="AB114" s="22"/>
      <c r="AC114" s="22"/>
      <c r="AD114" s="22"/>
      <c r="AE114" s="22"/>
      <c r="AF114" s="22"/>
      <c r="AG114" s="153"/>
      <c r="AH114" s="168"/>
      <c r="AI114" s="22"/>
      <c r="AJ114" s="22"/>
      <c r="AK114" s="22"/>
    </row>
    <row r="115" spans="19:37" customFormat="1">
      <c r="S115" s="20"/>
      <c r="T115" s="60"/>
      <c r="U115" s="60"/>
      <c r="V115" s="60"/>
      <c r="W115" s="60"/>
      <c r="X115" s="61"/>
      <c r="Y115" s="22"/>
      <c r="Z115" s="22"/>
      <c r="AA115" s="22"/>
      <c r="AB115" s="22"/>
      <c r="AC115" s="22"/>
      <c r="AD115" s="22"/>
      <c r="AE115" s="22"/>
      <c r="AF115" s="22"/>
      <c r="AG115" s="153"/>
      <c r="AH115" s="168"/>
      <c r="AI115" s="22"/>
      <c r="AJ115" s="22"/>
      <c r="AK115" s="22"/>
    </row>
    <row r="116" spans="19:37" customFormat="1" ht="17.25">
      <c r="S116" s="20"/>
      <c r="T116" s="44" t="s">
        <v>203</v>
      </c>
      <c r="U116" s="44"/>
      <c r="V116" s="44"/>
      <c r="W116" s="44"/>
      <c r="X116" s="64">
        <f>IF(ISNUMBER(Ptab),-Ptab,0)+IF(ISNUMBER(X76),X76,0)+IF(ISNUMBER(X109),X109,0)+IF(ISNUMBER(X113),-X113,0)</f>
        <v>-35.336531234419169</v>
      </c>
      <c r="Y116" s="32" t="s">
        <v>65</v>
      </c>
      <c r="Z116" s="22"/>
      <c r="AA116" s="55" t="s">
        <v>199</v>
      </c>
      <c r="AB116" s="22"/>
      <c r="AC116" s="22"/>
      <c r="AD116" s="22"/>
      <c r="AE116" s="22"/>
      <c r="AF116" s="22"/>
      <c r="AG116" s="153"/>
      <c r="AH116" s="168"/>
      <c r="AI116" s="22"/>
      <c r="AJ116" s="22"/>
      <c r="AK116" s="22"/>
    </row>
    <row r="117" spans="19:37" customFormat="1">
      <c r="S117" s="20"/>
      <c r="T117" s="25"/>
      <c r="U117" s="22"/>
      <c r="V117" s="22"/>
      <c r="W117" s="25"/>
      <c r="X117" s="109"/>
      <c r="Y117" s="22"/>
      <c r="Z117" s="22"/>
      <c r="AA117" s="22"/>
      <c r="AB117" s="22"/>
      <c r="AC117" s="22"/>
      <c r="AD117" s="22"/>
      <c r="AE117" s="22"/>
      <c r="AF117" s="22"/>
      <c r="AG117" s="153"/>
      <c r="AH117" s="168"/>
      <c r="AI117" s="22"/>
      <c r="AJ117" s="22"/>
      <c r="AK117" s="22"/>
    </row>
    <row r="118" spans="19:37" customFormat="1">
      <c r="S118" s="20"/>
      <c r="T118" s="20"/>
      <c r="U118" s="20"/>
      <c r="V118" s="20"/>
      <c r="W118" s="20"/>
      <c r="X118" s="128"/>
      <c r="Y118" s="20"/>
      <c r="Z118" s="20"/>
      <c r="AA118" s="20"/>
      <c r="AB118" s="20"/>
      <c r="AC118" s="20"/>
      <c r="AD118" s="20"/>
      <c r="AE118" s="20"/>
      <c r="AF118" s="20"/>
      <c r="AG118" s="147"/>
      <c r="AH118" s="161"/>
      <c r="AI118" s="22"/>
      <c r="AJ118" s="22"/>
      <c r="AK118" s="22"/>
    </row>
    <row r="119" spans="19:37" customFormat="1"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147"/>
      <c r="AH119" s="161"/>
      <c r="AI119" s="22"/>
      <c r="AJ119" s="22"/>
      <c r="AK119" s="22"/>
    </row>
    <row r="120" spans="19:37" customFormat="1"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147"/>
      <c r="AH120" s="161"/>
      <c r="AI120" s="22"/>
      <c r="AJ120" s="22"/>
      <c r="AK120" s="22"/>
    </row>
    <row r="121" spans="19:37" customFormat="1"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147"/>
      <c r="AH121" s="161"/>
      <c r="AI121" s="22"/>
      <c r="AJ121" s="22"/>
      <c r="AK121" s="22"/>
    </row>
    <row r="122" spans="19:37" customFormat="1"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147"/>
      <c r="AH122" s="161"/>
      <c r="AI122" s="22"/>
      <c r="AJ122" s="22"/>
      <c r="AK122" s="22"/>
    </row>
    <row r="123" spans="19:37" customFormat="1"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147"/>
      <c r="AH123" s="161"/>
      <c r="AI123" s="22"/>
      <c r="AJ123" s="22"/>
      <c r="AK123" s="22"/>
    </row>
    <row r="124" spans="19:37" customFormat="1"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147"/>
      <c r="AH124" s="161"/>
      <c r="AI124" s="22"/>
      <c r="AJ124" s="22"/>
      <c r="AK124" s="22"/>
    </row>
    <row r="125" spans="19:37" customFormat="1"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147"/>
      <c r="AH125" s="161"/>
      <c r="AI125" s="25"/>
      <c r="AJ125" s="25"/>
      <c r="AK125" s="25"/>
    </row>
    <row r="126" spans="19:37" customFormat="1"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147"/>
      <c r="AH126" s="161"/>
      <c r="AI126" s="25"/>
      <c r="AJ126" s="25"/>
      <c r="AK126" s="25"/>
    </row>
    <row r="127" spans="19:37" customFormat="1"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147"/>
      <c r="AH127" s="161"/>
      <c r="AI127" s="20"/>
      <c r="AJ127" s="20"/>
      <c r="AK127" s="20"/>
    </row>
    <row r="133" spans="1:53" hidden="1">
      <c r="A133"/>
      <c r="B133"/>
      <c r="C133" s="3" t="s">
        <v>74</v>
      </c>
      <c r="AS133"/>
      <c r="AT133"/>
      <c r="AU133"/>
      <c r="AV133"/>
      <c r="AW133"/>
      <c r="AX133"/>
      <c r="AY133"/>
      <c r="AZ133"/>
      <c r="BA133"/>
    </row>
    <row r="134" spans="1:53" hidden="1">
      <c r="A134"/>
      <c r="B134"/>
      <c r="C134" s="34" t="s">
        <v>42</v>
      </c>
      <c r="D134" s="34"/>
      <c r="E134" s="34"/>
      <c r="F134" s="34" t="s">
        <v>43</v>
      </c>
      <c r="G134" s="34" t="s">
        <v>53</v>
      </c>
      <c r="H134" s="34" t="s">
        <v>50</v>
      </c>
      <c r="I134" s="34" t="s">
        <v>48</v>
      </c>
      <c r="J134" s="34"/>
      <c r="K134" s="34"/>
      <c r="L134" s="34"/>
      <c r="M134" s="34" t="s">
        <v>55</v>
      </c>
      <c r="N134" s="34"/>
      <c r="O134" s="34" t="s">
        <v>4</v>
      </c>
      <c r="P134" s="34"/>
      <c r="Q134" s="34"/>
      <c r="R134" s="34" t="s">
        <v>8</v>
      </c>
      <c r="AS134"/>
      <c r="AT134"/>
      <c r="AU134"/>
      <c r="AV134"/>
      <c r="AW134"/>
      <c r="AX134"/>
      <c r="AY134"/>
      <c r="AZ134"/>
      <c r="BA134"/>
    </row>
    <row r="135" spans="1:53" hidden="1">
      <c r="A135"/>
      <c r="B135"/>
      <c r="C135" s="34" t="s">
        <v>32</v>
      </c>
      <c r="D135" s="34"/>
      <c r="E135" s="34"/>
      <c r="F135" s="34">
        <v>0</v>
      </c>
      <c r="G135" s="34">
        <v>1</v>
      </c>
      <c r="H135" s="34" t="s">
        <v>23</v>
      </c>
      <c r="I135" s="35">
        <v>1</v>
      </c>
      <c r="J135" s="34"/>
      <c r="K135" s="34"/>
      <c r="L135" s="34"/>
      <c r="M135" s="34" t="s">
        <v>56</v>
      </c>
      <c r="N135" s="34">
        <v>30.973761</v>
      </c>
      <c r="O135" s="36" t="s">
        <v>28</v>
      </c>
      <c r="P135" s="36" t="s">
        <v>24</v>
      </c>
      <c r="Q135" s="36"/>
      <c r="R135" s="34">
        <v>1</v>
      </c>
      <c r="AS135"/>
      <c r="AT135"/>
      <c r="AU135"/>
      <c r="AV135"/>
      <c r="AW135"/>
      <c r="AX135"/>
      <c r="AY135"/>
      <c r="AZ135"/>
      <c r="BA135"/>
    </row>
    <row r="136" spans="1:53" hidden="1">
      <c r="A136"/>
      <c r="B136"/>
      <c r="C136" s="34" t="s">
        <v>33</v>
      </c>
      <c r="D136" s="34"/>
      <c r="E136" s="34"/>
      <c r="F136" s="34" t="s">
        <v>44</v>
      </c>
      <c r="G136" s="34">
        <v>0.5</v>
      </c>
      <c r="H136" s="34" t="s">
        <v>22</v>
      </c>
      <c r="I136" s="34"/>
      <c r="J136" s="34"/>
      <c r="K136" s="34"/>
      <c r="L136" s="34"/>
      <c r="M136" s="34" t="s">
        <v>57</v>
      </c>
      <c r="N136" s="34">
        <v>55.845700000000001</v>
      </c>
      <c r="O136" s="36" t="s">
        <v>29</v>
      </c>
      <c r="P136" s="36" t="s">
        <v>25</v>
      </c>
      <c r="Q136" s="36"/>
      <c r="R136" s="34">
        <v>2</v>
      </c>
      <c r="AS136"/>
      <c r="AT136"/>
      <c r="AU136"/>
      <c r="AV136"/>
      <c r="AW136"/>
      <c r="AX136"/>
      <c r="AY136"/>
      <c r="AZ136"/>
      <c r="BA136"/>
    </row>
    <row r="137" spans="1:53" hidden="1">
      <c r="A137"/>
      <c r="B137"/>
      <c r="C137" s="34" t="s">
        <v>34</v>
      </c>
      <c r="D137" s="34"/>
      <c r="E137" s="34"/>
      <c r="F137" s="34" t="s">
        <v>45</v>
      </c>
      <c r="G137" s="34">
        <v>0</v>
      </c>
      <c r="H137" s="34" t="s">
        <v>52</v>
      </c>
      <c r="I137" s="34"/>
      <c r="J137" s="34"/>
      <c r="K137" s="34"/>
      <c r="L137" s="34"/>
      <c r="M137" s="34"/>
      <c r="N137" s="34"/>
      <c r="O137" s="36" t="s">
        <v>30</v>
      </c>
      <c r="P137" s="36" t="s">
        <v>26</v>
      </c>
      <c r="Q137" s="36"/>
      <c r="R137" s="34">
        <v>3</v>
      </c>
      <c r="AS137"/>
      <c r="AT137"/>
      <c r="AU137"/>
      <c r="AV137"/>
      <c r="AW137"/>
      <c r="AX137"/>
      <c r="AY137"/>
      <c r="AZ137"/>
      <c r="BA137"/>
    </row>
    <row r="138" spans="1:53" hidden="1">
      <c r="A138"/>
      <c r="B138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6" t="s">
        <v>31</v>
      </c>
      <c r="P138" s="36" t="s">
        <v>27</v>
      </c>
      <c r="Q138" s="36"/>
      <c r="R138" s="34"/>
      <c r="AS138"/>
      <c r="AT138"/>
      <c r="AU138"/>
      <c r="AV138"/>
      <c r="AW138"/>
      <c r="AX138"/>
      <c r="AY138"/>
      <c r="AZ138"/>
      <c r="BA138"/>
    </row>
    <row r="139" spans="1:53" hidden="1">
      <c r="A139"/>
      <c r="B139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AS139"/>
      <c r="AT139"/>
      <c r="AU139"/>
      <c r="AV139"/>
      <c r="AW139"/>
      <c r="AX139"/>
      <c r="AY139"/>
      <c r="AZ139"/>
      <c r="BA139"/>
    </row>
    <row r="140" spans="1:53" hidden="1">
      <c r="A140"/>
      <c r="B140"/>
      <c r="C140" s="34" t="s">
        <v>108</v>
      </c>
      <c r="D140" s="34"/>
      <c r="E140" s="34" t="s">
        <v>58</v>
      </c>
      <c r="F140" s="34"/>
      <c r="G140" s="34"/>
      <c r="H140" s="34"/>
      <c r="I140" s="34" t="s">
        <v>67</v>
      </c>
      <c r="J140" s="34"/>
      <c r="K140" s="34"/>
      <c r="L140" s="34"/>
      <c r="M140" s="34"/>
      <c r="N140" s="34"/>
      <c r="O140" s="34"/>
      <c r="P140" s="34"/>
      <c r="Q140" s="34"/>
      <c r="R140" s="34"/>
      <c r="AS140"/>
      <c r="AT140"/>
      <c r="AU140"/>
      <c r="AV140"/>
      <c r="AW140"/>
      <c r="AX140"/>
      <c r="AY140"/>
      <c r="AZ140"/>
      <c r="BA140"/>
    </row>
    <row r="141" spans="1:53" hidden="1">
      <c r="A141"/>
      <c r="B141"/>
      <c r="C141" s="34">
        <v>1</v>
      </c>
      <c r="D141" s="34"/>
      <c r="E141" s="34"/>
      <c r="F141" s="34" t="s">
        <v>59</v>
      </c>
      <c r="G141" s="34"/>
      <c r="H141" s="34"/>
      <c r="I141" s="34" t="s">
        <v>32</v>
      </c>
      <c r="J141" s="34"/>
      <c r="K141" s="34"/>
      <c r="L141" s="34"/>
      <c r="M141" s="34"/>
      <c r="N141" s="34"/>
      <c r="O141" s="34"/>
      <c r="P141" s="34"/>
      <c r="Q141" s="34"/>
      <c r="R141" s="34"/>
      <c r="AS141"/>
      <c r="AT141"/>
      <c r="AU141"/>
      <c r="AV141"/>
      <c r="AW141"/>
      <c r="AX141"/>
      <c r="AY141"/>
      <c r="AZ141"/>
      <c r="BA141"/>
    </row>
    <row r="142" spans="1:53" hidden="1">
      <c r="A142"/>
      <c r="B142"/>
      <c r="C142" s="34">
        <v>2</v>
      </c>
      <c r="D142" s="34"/>
      <c r="E142" s="34"/>
      <c r="F142" s="34" t="s">
        <v>60</v>
      </c>
      <c r="G142" s="34"/>
      <c r="H142" s="34"/>
      <c r="I142" s="34" t="s">
        <v>68</v>
      </c>
      <c r="J142" s="34"/>
      <c r="K142" s="34"/>
      <c r="L142" s="34"/>
      <c r="M142" s="34"/>
      <c r="N142" s="34"/>
      <c r="O142" s="34"/>
      <c r="P142" s="34"/>
      <c r="Q142" s="34"/>
      <c r="R142" s="34"/>
      <c r="AS142"/>
      <c r="AT142"/>
      <c r="AU142"/>
      <c r="AV142"/>
      <c r="AW142"/>
      <c r="AX142"/>
      <c r="AY142"/>
      <c r="AZ142"/>
      <c r="BA142"/>
    </row>
    <row r="143" spans="1:53" hidden="1">
      <c r="A143"/>
      <c r="B143"/>
      <c r="C143" s="34">
        <v>3</v>
      </c>
      <c r="D143" s="34"/>
      <c r="E143" s="34"/>
      <c r="F143" s="34" t="s">
        <v>61</v>
      </c>
      <c r="G143" s="34"/>
      <c r="H143" s="34"/>
      <c r="I143" s="34" t="s">
        <v>69</v>
      </c>
      <c r="J143" s="34"/>
      <c r="K143" s="34"/>
      <c r="L143" s="34"/>
      <c r="M143" s="34"/>
      <c r="N143" s="34"/>
      <c r="O143" s="34"/>
      <c r="P143" s="34"/>
      <c r="Q143" s="34"/>
      <c r="R143" s="34"/>
      <c r="AS143"/>
      <c r="AT143"/>
      <c r="AU143"/>
      <c r="AV143"/>
      <c r="AW143"/>
      <c r="AX143"/>
      <c r="AY143"/>
      <c r="AZ143"/>
      <c r="BA143"/>
    </row>
    <row r="144" spans="1:53" hidden="1">
      <c r="A144"/>
      <c r="B144"/>
      <c r="C144" s="34">
        <v>4</v>
      </c>
      <c r="D144" s="34"/>
      <c r="E144" s="8"/>
      <c r="F144" s="11" t="s">
        <v>64</v>
      </c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AS144"/>
      <c r="AT144"/>
      <c r="AU144"/>
      <c r="AV144"/>
      <c r="AW144"/>
      <c r="AX144"/>
      <c r="AY144"/>
      <c r="AZ144"/>
      <c r="BA144"/>
    </row>
    <row r="145" spans="3:44" customFormat="1" hidden="1">
      <c r="C145" s="34">
        <v>5</v>
      </c>
      <c r="D145" s="34"/>
      <c r="E145" s="37" t="s">
        <v>62</v>
      </c>
      <c r="F145" s="24">
        <v>27</v>
      </c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142"/>
      <c r="AH145" s="156"/>
      <c r="AI145" s="3"/>
      <c r="AJ145" s="3"/>
      <c r="AK145" s="3"/>
      <c r="AL145" s="3"/>
      <c r="AM145" s="3"/>
      <c r="AN145" s="3"/>
      <c r="AO145" s="3"/>
      <c r="AP145" s="3"/>
      <c r="AQ145" s="3"/>
      <c r="AR145" s="3"/>
    </row>
    <row r="146" spans="3:44" customFormat="1" hidden="1">
      <c r="C146" s="34">
        <v>6</v>
      </c>
      <c r="D146" s="34"/>
      <c r="E146" s="37" t="s">
        <v>51</v>
      </c>
      <c r="F146" s="24">
        <v>21</v>
      </c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142"/>
      <c r="AH146" s="156"/>
      <c r="AI146" s="3"/>
      <c r="AJ146" s="3"/>
      <c r="AK146" s="3"/>
      <c r="AL146" s="3"/>
      <c r="AM146" s="3"/>
      <c r="AN146" s="3"/>
      <c r="AO146" s="3"/>
      <c r="AP146" s="3"/>
      <c r="AQ146" s="3"/>
      <c r="AR146" s="3"/>
    </row>
    <row r="147" spans="3:44" customFormat="1" hidden="1">
      <c r="C147" s="34">
        <v>7</v>
      </c>
      <c r="D147" s="34"/>
      <c r="E147" s="38" t="s">
        <v>63</v>
      </c>
      <c r="F147" s="24">
        <v>16</v>
      </c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142"/>
      <c r="AH147" s="156"/>
      <c r="AI147" s="3"/>
      <c r="AJ147" s="3"/>
      <c r="AK147" s="3"/>
      <c r="AL147" s="3"/>
      <c r="AM147" s="3"/>
      <c r="AN147" s="3"/>
      <c r="AO147" s="3"/>
      <c r="AP147" s="3"/>
      <c r="AQ147" s="3"/>
      <c r="AR147" s="3"/>
    </row>
    <row r="148" spans="3:44" customFormat="1" hidden="1">
      <c r="C148" s="34">
        <v>8</v>
      </c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142"/>
      <c r="AH148" s="156"/>
      <c r="AI148" s="3"/>
      <c r="AJ148" s="3"/>
      <c r="AK148" s="3"/>
      <c r="AL148" s="3"/>
      <c r="AM148" s="3"/>
      <c r="AN148" s="3"/>
      <c r="AO148" s="3"/>
      <c r="AP148" s="3"/>
      <c r="AQ148" s="3"/>
      <c r="AR148" s="3"/>
    </row>
    <row r="149" spans="3:44" customFormat="1" hidden="1">
      <c r="C149" s="34">
        <v>9</v>
      </c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142"/>
      <c r="AH149" s="156"/>
      <c r="AI149" s="3"/>
      <c r="AJ149" s="3"/>
      <c r="AK149" s="3"/>
      <c r="AL149" s="3"/>
      <c r="AM149" s="3"/>
      <c r="AN149" s="3"/>
      <c r="AO149" s="3"/>
      <c r="AP149" s="3"/>
      <c r="AQ149" s="3"/>
      <c r="AR149" s="3"/>
    </row>
    <row r="150" spans="3:44" customFormat="1" hidden="1"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142"/>
      <c r="AH150" s="156"/>
      <c r="AI150" s="3"/>
      <c r="AJ150" s="3"/>
      <c r="AK150" s="3"/>
      <c r="AL150" s="3"/>
      <c r="AM150" s="3"/>
      <c r="AN150" s="3"/>
      <c r="AO150" s="3"/>
      <c r="AP150" s="3"/>
      <c r="AQ150" s="3"/>
      <c r="AR150" s="3"/>
    </row>
  </sheetData>
  <sheetProtection algorithmName="SHA-512" hashValue="vKa07J8cYsAqxXGKpwZCxFcNhxnHvd+IqQSliJNLPx09RvYPc4rr7Nc0B+zbutEzIf4ZC8aMakx5OZYfCcA3Eg==" saltValue="XCbGylPC0C3ttBU/7bSlbQ==" spinCount="100000" sheet="1" objects="1" scenarios="1"/>
  <dataConsolidate/>
  <mergeCells count="134">
    <mergeCell ref="B6:R6"/>
    <mergeCell ref="G39:I39"/>
    <mergeCell ref="L40:M40"/>
    <mergeCell ref="E41:F41"/>
    <mergeCell ref="G41:I41"/>
    <mergeCell ref="L41:M41"/>
    <mergeCell ref="F85:H85"/>
    <mergeCell ref="K8:N8"/>
    <mergeCell ref="E40:F40"/>
    <mergeCell ref="G40:I40"/>
    <mergeCell ref="E46:F46"/>
    <mergeCell ref="G46:I46"/>
    <mergeCell ref="L46:M46"/>
    <mergeCell ref="E50:F50"/>
    <mergeCell ref="G50:I50"/>
    <mergeCell ref="L50:M50"/>
    <mergeCell ref="E54:F54"/>
    <mergeCell ref="G54:I54"/>
    <mergeCell ref="L54:M54"/>
    <mergeCell ref="E58:F58"/>
    <mergeCell ref="G58:I58"/>
    <mergeCell ref="L58:M58"/>
    <mergeCell ref="E62:F62"/>
    <mergeCell ref="G62:I62"/>
    <mergeCell ref="S33:AB34"/>
    <mergeCell ref="U40:W40"/>
    <mergeCell ref="Y40:Z40"/>
    <mergeCell ref="H66:M66"/>
    <mergeCell ref="C66:F66"/>
    <mergeCell ref="L39:N39"/>
    <mergeCell ref="Y68:Z68"/>
    <mergeCell ref="U41:W41"/>
    <mergeCell ref="Y41:Z41"/>
    <mergeCell ref="E42:F42"/>
    <mergeCell ref="G42:I42"/>
    <mergeCell ref="L42:M42"/>
    <mergeCell ref="U42:W42"/>
    <mergeCell ref="Y42:Z42"/>
    <mergeCell ref="E44:F44"/>
    <mergeCell ref="G44:I44"/>
    <mergeCell ref="L44:M44"/>
    <mergeCell ref="U44:W44"/>
    <mergeCell ref="Y44:Z44"/>
    <mergeCell ref="E43:F43"/>
    <mergeCell ref="G43:I43"/>
    <mergeCell ref="L43:M43"/>
    <mergeCell ref="U43:W43"/>
    <mergeCell ref="Y43:Z43"/>
    <mergeCell ref="U46:W46"/>
    <mergeCell ref="Y46:Z46"/>
    <mergeCell ref="E45:F45"/>
    <mergeCell ref="G45:I45"/>
    <mergeCell ref="L45:M45"/>
    <mergeCell ref="U45:W45"/>
    <mergeCell ref="Y45:Z45"/>
    <mergeCell ref="E48:F48"/>
    <mergeCell ref="G48:I48"/>
    <mergeCell ref="L48:M48"/>
    <mergeCell ref="U48:W48"/>
    <mergeCell ref="Y48:Z48"/>
    <mergeCell ref="E47:F47"/>
    <mergeCell ref="G47:I47"/>
    <mergeCell ref="L47:M47"/>
    <mergeCell ref="U47:W47"/>
    <mergeCell ref="Y47:Z47"/>
    <mergeCell ref="U50:W50"/>
    <mergeCell ref="Y50:Z50"/>
    <mergeCell ref="E49:F49"/>
    <mergeCell ref="G49:I49"/>
    <mergeCell ref="L49:M49"/>
    <mergeCell ref="U49:W49"/>
    <mergeCell ref="Y49:Z49"/>
    <mergeCell ref="E52:F52"/>
    <mergeCell ref="G52:I52"/>
    <mergeCell ref="L52:M52"/>
    <mergeCell ref="U52:W52"/>
    <mergeCell ref="Y52:Z52"/>
    <mergeCell ref="E51:F51"/>
    <mergeCell ref="G51:I51"/>
    <mergeCell ref="L51:M51"/>
    <mergeCell ref="U51:W51"/>
    <mergeCell ref="Y51:Z51"/>
    <mergeCell ref="U54:W54"/>
    <mergeCell ref="Y54:Z54"/>
    <mergeCell ref="E53:F53"/>
    <mergeCell ref="G53:I53"/>
    <mergeCell ref="L53:M53"/>
    <mergeCell ref="U53:W53"/>
    <mergeCell ref="Y53:Z53"/>
    <mergeCell ref="E56:F56"/>
    <mergeCell ref="G56:I56"/>
    <mergeCell ref="L56:M56"/>
    <mergeCell ref="U56:W56"/>
    <mergeCell ref="Y56:Z56"/>
    <mergeCell ref="E55:F55"/>
    <mergeCell ref="G55:I55"/>
    <mergeCell ref="L55:M55"/>
    <mergeCell ref="U55:W55"/>
    <mergeCell ref="Y55:Z55"/>
    <mergeCell ref="U58:W58"/>
    <mergeCell ref="Y58:Z58"/>
    <mergeCell ref="E57:F57"/>
    <mergeCell ref="G57:I57"/>
    <mergeCell ref="L57:M57"/>
    <mergeCell ref="U57:W57"/>
    <mergeCell ref="Y57:Z57"/>
    <mergeCell ref="E60:F60"/>
    <mergeCell ref="G60:I60"/>
    <mergeCell ref="L60:M60"/>
    <mergeCell ref="U60:W60"/>
    <mergeCell ref="Y60:Z60"/>
    <mergeCell ref="E59:F59"/>
    <mergeCell ref="G59:I59"/>
    <mergeCell ref="L59:M59"/>
    <mergeCell ref="U59:W59"/>
    <mergeCell ref="Y59:Z59"/>
    <mergeCell ref="L62:M62"/>
    <mergeCell ref="U62:W62"/>
    <mergeCell ref="Y62:Z62"/>
    <mergeCell ref="E61:F61"/>
    <mergeCell ref="G61:I61"/>
    <mergeCell ref="L61:M61"/>
    <mergeCell ref="U61:W61"/>
    <mergeCell ref="Y61:Z61"/>
    <mergeCell ref="E64:F64"/>
    <mergeCell ref="G64:I64"/>
    <mergeCell ref="L64:M64"/>
    <mergeCell ref="U64:W64"/>
    <mergeCell ref="Y64:Z64"/>
    <mergeCell ref="E63:F63"/>
    <mergeCell ref="G63:I63"/>
    <mergeCell ref="L63:M63"/>
    <mergeCell ref="U63:W63"/>
    <mergeCell ref="Y63:Z63"/>
  </mergeCells>
  <phoneticPr fontId="17" type="noConversion"/>
  <conditionalFormatting sqref="X90">
    <cfRule type="cellIs" dxfId="6" priority="10" operator="greaterThan">
      <formula>$Z$85</formula>
    </cfRule>
    <cfRule type="cellIs" dxfId="5" priority="11" operator="greaterThan">
      <formula>$Z$85</formula>
    </cfRule>
  </conditionalFormatting>
  <conditionalFormatting sqref="C22:J24">
    <cfRule type="containsBlanks" dxfId="4" priority="15">
      <formula>LEN(TRIM(C22))=0</formula>
    </cfRule>
  </conditionalFormatting>
  <conditionalFormatting sqref="L22:N24">
    <cfRule type="containsBlanks" dxfId="3" priority="1">
      <formula>LEN(TRIM(L22))=0</formula>
    </cfRule>
  </conditionalFormatting>
  <dataValidations xWindow="1057" yWindow="795" count="5">
    <dataValidation type="list" showInputMessage="1" showErrorMessage="1" sqref="X80" xr:uid="{00000000-0002-0000-0000-000000000000}">
      <formula1>$R$135:$R$137</formula1>
    </dataValidation>
    <dataValidation type="list" allowBlank="1" showInputMessage="1" showErrorMessage="1" sqref="O41:O64" xr:uid="{00000000-0002-0000-0000-000001000000}">
      <formula1>$H$135:$H$137</formula1>
    </dataValidation>
    <dataValidation type="list" allowBlank="1" showInputMessage="1" showErrorMessage="1" sqref="E41:F64" xr:uid="{00000000-0002-0000-0000-000002000000}">
      <formula1>$C$135:$C$137</formula1>
    </dataValidation>
    <dataValidation type="list" showInputMessage="1" showErrorMessage="1" sqref="G41:I64" xr:uid="{00000000-0002-0000-0000-000003000000}">
      <formula1>$F$136:$F$137</formula1>
    </dataValidation>
    <dataValidation type="list" allowBlank="1" showInputMessage="1" showErrorMessage="1" sqref="N41:N64" xr:uid="{00000000-0002-0000-0000-000004000000}">
      <formula1>$G$135:$G$137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IndsætTommeRækker">
                <anchor moveWithCells="1" sizeWithCells="1">
                  <from>
                    <xdr:col>17</xdr:col>
                    <xdr:colOff>28575</xdr:colOff>
                    <xdr:row>64</xdr:row>
                    <xdr:rowOff>47625</xdr:rowOff>
                  </from>
                  <to>
                    <xdr:col>17</xdr:col>
                    <xdr:colOff>1257300</xdr:colOff>
                    <xdr:row>66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" id="{3EEB9915-11C6-48D8-939C-329C36288F60}">
            <xm:f>COUNTIF(DMI!$A$2:$B$611,C22)&lt;1</xm:f>
            <x14:dxf>
              <fill>
                <patternFill>
                  <bgColor rgb="FFFF0000"/>
                </patternFill>
              </fill>
            </x14:dxf>
          </x14:cfRule>
          <xm:sqref>C22:J24</xm:sqref>
        </x14:conditionalFormatting>
        <x14:conditionalFormatting xmlns:xm="http://schemas.microsoft.com/office/excel/2006/main">
          <x14:cfRule type="expression" priority="2" id="{EF7F09E7-4A7F-4DE6-B33A-D8F7BA0AB972}">
            <xm:f>COUNTIF(DMI!$A$2:$B$611,L22)&lt;1</xm:f>
            <x14:dxf>
              <fill>
                <patternFill>
                  <bgColor rgb="FFFF0000"/>
                </patternFill>
              </fill>
            </x14:dxf>
          </x14:cfRule>
          <xm:sqref>L22:N24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1:WE234"/>
  <sheetViews>
    <sheetView workbookViewId="0">
      <selection activeCell="D6" sqref="D6"/>
    </sheetView>
  </sheetViews>
  <sheetFormatPr defaultColWidth="9.140625" defaultRowHeight="15"/>
  <cols>
    <col min="1" max="1" width="9.140625" style="94"/>
    <col min="2" max="2" width="11" style="104" customWidth="1"/>
    <col min="3" max="3" width="20.28515625" style="104" customWidth="1"/>
    <col min="4" max="4" width="12" style="104" bestFit="1" customWidth="1"/>
    <col min="5" max="5" width="6.7109375" style="3" customWidth="1"/>
    <col min="6" max="603" width="9.140625" style="3"/>
    <col min="604" max="16384" width="9.140625" style="94"/>
  </cols>
  <sheetData>
    <row r="1" spans="2:19" ht="23.25">
      <c r="B1" s="95" t="s">
        <v>175</v>
      </c>
      <c r="C1" s="12"/>
      <c r="D1" s="12"/>
      <c r="E1" s="99"/>
      <c r="F1" s="132" t="s">
        <v>207</v>
      </c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</row>
    <row r="2" spans="2:19">
      <c r="B2" s="12"/>
      <c r="C2" s="12"/>
      <c r="D2" s="12"/>
      <c r="E2" s="99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2:19">
      <c r="B3" s="203" t="s">
        <v>181</v>
      </c>
      <c r="C3" s="203"/>
      <c r="D3" s="172"/>
      <c r="E3" s="99"/>
      <c r="F3" s="131" t="s">
        <v>208</v>
      </c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</row>
    <row r="4" spans="2:19">
      <c r="B4" s="203" t="s">
        <v>183</v>
      </c>
      <c r="C4" s="203"/>
      <c r="D4" s="172"/>
      <c r="E4" s="99"/>
      <c r="F4" s="131" t="s">
        <v>204</v>
      </c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</row>
    <row r="5" spans="2:19" ht="15.75" customHeight="1">
      <c r="B5" s="203" t="s">
        <v>184</v>
      </c>
      <c r="C5" s="203"/>
      <c r="D5" s="96">
        <f>SUM(C9:C209)</f>
        <v>0</v>
      </c>
      <c r="E5" s="99"/>
      <c r="F5" s="131" t="s">
        <v>846</v>
      </c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</row>
    <row r="6" spans="2:19">
      <c r="B6" s="203" t="s">
        <v>182</v>
      </c>
      <c r="C6" s="203"/>
      <c r="D6" s="97" t="e">
        <f>SUMPRODUCT(C9:C209,D9:D209)/SUM(C9:C209)</f>
        <v>#DIV/0!</v>
      </c>
      <c r="E6" s="99"/>
      <c r="F6" s="131" t="s">
        <v>205</v>
      </c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</row>
    <row r="7" spans="2:19">
      <c r="B7" s="12"/>
      <c r="C7" s="12"/>
      <c r="D7" s="12"/>
      <c r="E7" s="99"/>
      <c r="F7" s="131" t="s">
        <v>206</v>
      </c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</row>
    <row r="8" spans="2:19">
      <c r="B8" s="12" t="s">
        <v>176</v>
      </c>
      <c r="C8" s="12" t="s">
        <v>183</v>
      </c>
      <c r="D8" s="12" t="s">
        <v>177</v>
      </c>
      <c r="E8" s="99"/>
      <c r="F8" s="131" t="s">
        <v>839</v>
      </c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0"/>
      <c r="S8" s="130"/>
    </row>
    <row r="9" spans="2:19">
      <c r="B9" s="172"/>
      <c r="C9" s="172"/>
      <c r="D9" s="129" t="str">
        <f>IF(ISERROR(VLOOKUP(B9,Vandgennemstrømning!$T$41:$AH$262,15,FALSE)),"",VLOOKUP(B9,Vandgennemstrømning!$T$41:$AH$262,15,FALSE))</f>
        <v/>
      </c>
      <c r="E9" s="99"/>
    </row>
    <row r="10" spans="2:19">
      <c r="B10" s="172"/>
      <c r="C10" s="172"/>
      <c r="D10" s="129" t="str">
        <f>IF(ISERROR(VLOOKUP(B10,Vandgennemstrømning!$T$41:$AH$262,15,FALSE)),"",VLOOKUP(B10,Vandgennemstrømning!$T$41:$AH$262,15,FALSE))</f>
        <v/>
      </c>
      <c r="E10" s="99"/>
    </row>
    <row r="11" spans="2:19">
      <c r="B11" s="172"/>
      <c r="C11" s="172"/>
      <c r="D11" s="129" t="str">
        <f>IF(ISERROR(VLOOKUP(B11,Vandgennemstrømning!$T$41:$AH$262,15,FALSE)),"",VLOOKUP(B11,Vandgennemstrømning!$T$41:$AH$262,15,FALSE))</f>
        <v/>
      </c>
      <c r="E11" s="99"/>
    </row>
    <row r="12" spans="2:19">
      <c r="B12" s="172"/>
      <c r="C12" s="172"/>
      <c r="D12" s="129" t="str">
        <f>IF(ISERROR(VLOOKUP(B12,Vandgennemstrømning!$T$41:$AH$262,15,FALSE)),"",VLOOKUP(B12,Vandgennemstrømning!$T$41:$AH$262,15,FALSE))</f>
        <v/>
      </c>
      <c r="E12" s="99"/>
    </row>
    <row r="13" spans="2:19">
      <c r="B13" s="172"/>
      <c r="C13" s="172"/>
      <c r="D13" s="129" t="str">
        <f>IF(ISERROR(VLOOKUP(B13,Vandgennemstrømning!$T$41:$AH$262,15,FALSE)),"",VLOOKUP(B13,Vandgennemstrømning!$T$41:$AH$262,15,FALSE))</f>
        <v/>
      </c>
      <c r="E13" s="99"/>
    </row>
    <row r="14" spans="2:19">
      <c r="B14" s="172"/>
      <c r="C14" s="172"/>
      <c r="D14" s="129" t="str">
        <f>IF(ISERROR(VLOOKUP(B14,Vandgennemstrømning!$T$41:$AH$262,15,FALSE)),"",VLOOKUP(B14,Vandgennemstrømning!$T$41:$AH$262,15,FALSE))</f>
        <v/>
      </c>
      <c r="E14" s="99"/>
    </row>
    <row r="15" spans="2:19">
      <c r="B15" s="172"/>
      <c r="C15" s="172"/>
      <c r="D15" s="129" t="str">
        <f>IF(ISERROR(VLOOKUP(B15,Vandgennemstrømning!$T$41:$AH$262,15,FALSE)),"",VLOOKUP(B15,Vandgennemstrømning!$T$41:$AH$262,15,FALSE))</f>
        <v/>
      </c>
      <c r="E15" s="99"/>
    </row>
    <row r="16" spans="2:19">
      <c r="B16" s="172"/>
      <c r="C16" s="172"/>
      <c r="D16" s="129" t="str">
        <f>IF(ISERROR(VLOOKUP(B16,Vandgennemstrømning!$T$41:$AH$262,15,FALSE)),"",VLOOKUP(B16,Vandgennemstrømning!$T$41:$AH$262,15,FALSE))</f>
        <v/>
      </c>
      <c r="E16" s="99"/>
    </row>
    <row r="17" spans="2:5">
      <c r="B17" s="172"/>
      <c r="C17" s="172"/>
      <c r="D17" s="129" t="str">
        <f>IF(ISERROR(VLOOKUP(B17,Vandgennemstrømning!$T$41:$AH$262,15,FALSE)),"",VLOOKUP(B17,Vandgennemstrømning!$T$41:$AH$262,15,FALSE))</f>
        <v/>
      </c>
      <c r="E17" s="99"/>
    </row>
    <row r="18" spans="2:5">
      <c r="B18" s="172"/>
      <c r="C18" s="172"/>
      <c r="D18" s="129" t="str">
        <f>IF(ISERROR(VLOOKUP(B18,Vandgennemstrømning!$T$41:$AH$262,15,FALSE)),"",VLOOKUP(B18,Vandgennemstrømning!$T$41:$AH$262,15,FALSE))</f>
        <v/>
      </c>
      <c r="E18" s="99"/>
    </row>
    <row r="19" spans="2:5">
      <c r="B19" s="172"/>
      <c r="C19" s="172"/>
      <c r="D19" s="129" t="str">
        <f>IF(ISERROR(VLOOKUP(B19,Vandgennemstrømning!$T$41:$AH$262,15,FALSE)),"",VLOOKUP(B19,Vandgennemstrømning!$T$41:$AH$262,15,FALSE))</f>
        <v/>
      </c>
      <c r="E19" s="99"/>
    </row>
    <row r="20" spans="2:5">
      <c r="B20" s="172"/>
      <c r="C20" s="172"/>
      <c r="D20" s="129" t="str">
        <f>IF(ISERROR(VLOOKUP(B20,Vandgennemstrømning!$T$41:$AH$262,15,FALSE)),"",VLOOKUP(B20,Vandgennemstrømning!$T$41:$AH$262,15,FALSE))</f>
        <v/>
      </c>
      <c r="E20" s="99"/>
    </row>
    <row r="21" spans="2:5">
      <c r="B21" s="172"/>
      <c r="C21" s="172"/>
      <c r="D21" s="129" t="str">
        <f>IF(ISERROR(VLOOKUP(B21,Vandgennemstrømning!$T$41:$AH$262,15,FALSE)),"",VLOOKUP(B21,Vandgennemstrømning!$T$41:$AH$262,15,FALSE))</f>
        <v/>
      </c>
      <c r="E21" s="99"/>
    </row>
    <row r="22" spans="2:5">
      <c r="B22" s="172"/>
      <c r="C22" s="172"/>
      <c r="D22" s="129" t="str">
        <f>IF(ISERROR(VLOOKUP(B22,Vandgennemstrømning!$T$41:$AH$262,15,FALSE)),"",VLOOKUP(B22,Vandgennemstrømning!$T$41:$AH$262,15,FALSE))</f>
        <v/>
      </c>
      <c r="E22" s="99"/>
    </row>
    <row r="23" spans="2:5">
      <c r="B23" s="172"/>
      <c r="C23" s="172"/>
      <c r="D23" s="129" t="str">
        <f>IF(ISERROR(VLOOKUP(B23,Vandgennemstrømning!$T$41:$AH$262,15,FALSE)),"",VLOOKUP(B23,Vandgennemstrømning!$T$41:$AH$262,15,FALSE))</f>
        <v/>
      </c>
      <c r="E23" s="99"/>
    </row>
    <row r="24" spans="2:5">
      <c r="B24" s="172"/>
      <c r="C24" s="172"/>
      <c r="D24" s="129" t="str">
        <f>IF(ISERROR(VLOOKUP(B24,Vandgennemstrømning!$T$41:$AH$262,15,FALSE)),"",VLOOKUP(B24,Vandgennemstrømning!$T$41:$AH$262,15,FALSE))</f>
        <v/>
      </c>
      <c r="E24" s="99"/>
    </row>
    <row r="25" spans="2:5">
      <c r="B25" s="172"/>
      <c r="C25" s="172"/>
      <c r="D25" s="129" t="str">
        <f>IF(ISERROR(VLOOKUP(B25,Vandgennemstrømning!$T$41:$AH$262,15,FALSE)),"",VLOOKUP(B25,Vandgennemstrømning!$T$41:$AH$262,15,FALSE))</f>
        <v/>
      </c>
      <c r="E25" s="99"/>
    </row>
    <row r="26" spans="2:5">
      <c r="B26" s="172"/>
      <c r="C26" s="172"/>
      <c r="D26" s="129" t="str">
        <f>IF(ISERROR(VLOOKUP(B26,Vandgennemstrømning!$T$41:$AH$262,15,FALSE)),"",VLOOKUP(B26,Vandgennemstrømning!$T$41:$AH$262,15,FALSE))</f>
        <v/>
      </c>
      <c r="E26" s="99"/>
    </row>
    <row r="27" spans="2:5">
      <c r="B27" s="172"/>
      <c r="C27" s="172"/>
      <c r="D27" s="129" t="str">
        <f>IF(ISERROR(VLOOKUP(B27,Vandgennemstrømning!$T$41:$AH$262,15,FALSE)),"",VLOOKUP(B27,Vandgennemstrømning!$T$41:$AH$262,15,FALSE))</f>
        <v/>
      </c>
      <c r="E27" s="99"/>
    </row>
    <row r="28" spans="2:5">
      <c r="B28" s="172"/>
      <c r="C28" s="172"/>
      <c r="D28" s="129" t="str">
        <f>IF(ISERROR(VLOOKUP(B28,Vandgennemstrømning!$T$41:$AH$262,15,FALSE)),"",VLOOKUP(B28,Vandgennemstrømning!$T$41:$AH$262,15,FALSE))</f>
        <v/>
      </c>
      <c r="E28" s="99"/>
    </row>
    <row r="29" spans="2:5">
      <c r="B29" s="172"/>
      <c r="C29" s="172"/>
      <c r="D29" s="129" t="str">
        <f>IF(ISERROR(VLOOKUP(B29,Vandgennemstrømning!$T$41:$AH$262,15,FALSE)),"",VLOOKUP(B29,Vandgennemstrømning!$T$41:$AH$262,15,FALSE))</f>
        <v/>
      </c>
      <c r="E29" s="99"/>
    </row>
    <row r="30" spans="2:5">
      <c r="B30" s="172"/>
      <c r="C30" s="172"/>
      <c r="D30" s="129" t="str">
        <f>IF(ISERROR(VLOOKUP(B30,Vandgennemstrømning!$T$41:$AH$262,15,FALSE)),"",VLOOKUP(B30,Vandgennemstrømning!$T$41:$AH$262,15,FALSE))</f>
        <v/>
      </c>
      <c r="E30" s="99"/>
    </row>
    <row r="31" spans="2:5">
      <c r="B31" s="172"/>
      <c r="C31" s="172"/>
      <c r="D31" s="129" t="str">
        <f>IF(ISERROR(VLOOKUP(B31,Vandgennemstrømning!$T$41:$AH$262,15,FALSE)),"",VLOOKUP(B31,Vandgennemstrømning!$T$41:$AH$262,15,FALSE))</f>
        <v/>
      </c>
      <c r="E31" s="99"/>
    </row>
    <row r="32" spans="2:5">
      <c r="B32" s="172"/>
      <c r="C32" s="172"/>
      <c r="D32" s="129" t="str">
        <f>IF(ISERROR(VLOOKUP(B32,Vandgennemstrømning!$T$41:$AH$262,15,FALSE)),"",VLOOKUP(B32,Vandgennemstrømning!$T$41:$AH$262,15,FALSE))</f>
        <v/>
      </c>
      <c r="E32" s="99"/>
    </row>
    <row r="33" spans="2:5">
      <c r="B33" s="172"/>
      <c r="C33" s="172"/>
      <c r="D33" s="129" t="str">
        <f>IF(ISERROR(VLOOKUP(B33,Vandgennemstrømning!$T$41:$AH$262,15,FALSE)),"",VLOOKUP(B33,Vandgennemstrømning!$T$41:$AH$262,15,FALSE))</f>
        <v/>
      </c>
      <c r="E33" s="99"/>
    </row>
    <row r="34" spans="2:5">
      <c r="B34" s="172"/>
      <c r="C34" s="172"/>
      <c r="D34" s="129" t="str">
        <f>IF(ISERROR(VLOOKUP(B34,Vandgennemstrømning!$T$41:$AH$262,15,FALSE)),"",VLOOKUP(B34,Vandgennemstrømning!$T$41:$AH$262,15,FALSE))</f>
        <v/>
      </c>
      <c r="E34" s="99"/>
    </row>
    <row r="35" spans="2:5">
      <c r="B35" s="172"/>
      <c r="C35" s="172"/>
      <c r="D35" s="129" t="str">
        <f>IF(ISERROR(VLOOKUP(B35,Vandgennemstrømning!$T$41:$AH$262,15,FALSE)),"",VLOOKUP(B35,Vandgennemstrømning!$T$41:$AH$262,15,FALSE))</f>
        <v/>
      </c>
      <c r="E35" s="99"/>
    </row>
    <row r="36" spans="2:5">
      <c r="B36" s="172"/>
      <c r="C36" s="172"/>
      <c r="D36" s="129" t="str">
        <f>IF(ISERROR(VLOOKUP(B36,Vandgennemstrømning!$T$41:$AH$262,15,FALSE)),"",VLOOKUP(B36,Vandgennemstrømning!$T$41:$AH$262,15,FALSE))</f>
        <v/>
      </c>
      <c r="E36" s="99"/>
    </row>
    <row r="37" spans="2:5">
      <c r="B37" s="172"/>
      <c r="C37" s="172"/>
      <c r="D37" s="129" t="str">
        <f>IF(ISERROR(VLOOKUP(B37,Vandgennemstrømning!$T$41:$AH$262,15,FALSE)),"",VLOOKUP(B37,Vandgennemstrømning!$T$41:$AH$262,15,FALSE))</f>
        <v/>
      </c>
      <c r="E37" s="99"/>
    </row>
    <row r="38" spans="2:5">
      <c r="B38" s="172"/>
      <c r="C38" s="172"/>
      <c r="D38" s="129" t="str">
        <f>IF(ISERROR(VLOOKUP(B38,Vandgennemstrømning!$T$41:$AH$262,15,FALSE)),"",VLOOKUP(B38,Vandgennemstrømning!$T$41:$AH$262,15,FALSE))</f>
        <v/>
      </c>
      <c r="E38" s="99"/>
    </row>
    <row r="39" spans="2:5">
      <c r="B39" s="172"/>
      <c r="C39" s="172"/>
      <c r="D39" s="129" t="str">
        <f>IF(ISERROR(VLOOKUP(B39,Vandgennemstrømning!$T$41:$AH$262,15,FALSE)),"",VLOOKUP(B39,Vandgennemstrømning!$T$41:$AH$262,15,FALSE))</f>
        <v/>
      </c>
      <c r="E39" s="99"/>
    </row>
    <row r="40" spans="2:5">
      <c r="B40" s="172"/>
      <c r="C40" s="172"/>
      <c r="D40" s="129" t="str">
        <f>IF(ISERROR(VLOOKUP(B40,Vandgennemstrømning!$T$41:$AH$262,15,FALSE)),"",VLOOKUP(B40,Vandgennemstrømning!$T$41:$AH$262,15,FALSE))</f>
        <v/>
      </c>
      <c r="E40" s="99"/>
    </row>
    <row r="41" spans="2:5">
      <c r="B41" s="172"/>
      <c r="C41" s="172"/>
      <c r="D41" s="129" t="str">
        <f>IF(ISERROR(VLOOKUP(B41,Vandgennemstrømning!$T$41:$AH$262,15,FALSE)),"",VLOOKUP(B41,Vandgennemstrømning!$T$41:$AH$262,15,FALSE))</f>
        <v/>
      </c>
      <c r="E41" s="99"/>
    </row>
    <row r="42" spans="2:5">
      <c r="B42" s="172"/>
      <c r="C42" s="172"/>
      <c r="D42" s="129" t="str">
        <f>IF(ISERROR(VLOOKUP(B42,Vandgennemstrømning!$T$41:$AH$262,15,FALSE)),"",VLOOKUP(B42,Vandgennemstrømning!$T$41:$AH$262,15,FALSE))</f>
        <v/>
      </c>
      <c r="E42" s="99"/>
    </row>
    <row r="43" spans="2:5">
      <c r="B43" s="172"/>
      <c r="C43" s="172"/>
      <c r="D43" s="129" t="str">
        <f>IF(ISERROR(VLOOKUP(B43,Vandgennemstrømning!$T$41:$AH$262,15,FALSE)),"",VLOOKUP(B43,Vandgennemstrømning!$T$41:$AH$262,15,FALSE))</f>
        <v/>
      </c>
      <c r="E43" s="99"/>
    </row>
    <row r="44" spans="2:5">
      <c r="B44" s="172"/>
      <c r="C44" s="172"/>
      <c r="D44" s="129" t="str">
        <f>IF(ISERROR(VLOOKUP(B44,Vandgennemstrømning!$T$41:$AH$262,15,FALSE)),"",VLOOKUP(B44,Vandgennemstrømning!$T$41:$AH$262,15,FALSE))</f>
        <v/>
      </c>
      <c r="E44" s="99"/>
    </row>
    <row r="45" spans="2:5">
      <c r="B45" s="172"/>
      <c r="C45" s="172"/>
      <c r="D45" s="129" t="str">
        <f>IF(ISERROR(VLOOKUP(B45,Vandgennemstrømning!$T$41:$AH$262,15,FALSE)),"",VLOOKUP(B45,Vandgennemstrømning!$T$41:$AH$262,15,FALSE))</f>
        <v/>
      </c>
      <c r="E45" s="99"/>
    </row>
    <row r="46" spans="2:5">
      <c r="B46" s="172"/>
      <c r="C46" s="172"/>
      <c r="D46" s="129" t="str">
        <f>IF(ISERROR(VLOOKUP(B46,Vandgennemstrømning!$T$41:$AH$262,15,FALSE)),"",VLOOKUP(B46,Vandgennemstrømning!$T$41:$AH$262,15,FALSE))</f>
        <v/>
      </c>
      <c r="E46" s="99"/>
    </row>
    <row r="47" spans="2:5">
      <c r="B47" s="172"/>
      <c r="C47" s="172"/>
      <c r="D47" s="129" t="str">
        <f>IF(ISERROR(VLOOKUP(B47,Vandgennemstrømning!$T$41:$AH$262,15,FALSE)),"",VLOOKUP(B47,Vandgennemstrømning!$T$41:$AH$262,15,FALSE))</f>
        <v/>
      </c>
      <c r="E47" s="99"/>
    </row>
    <row r="48" spans="2:5">
      <c r="B48" s="172"/>
      <c r="C48" s="172"/>
      <c r="D48" s="129" t="str">
        <f>IF(ISERROR(VLOOKUP(B48,Vandgennemstrømning!$T$41:$AH$262,15,FALSE)),"",VLOOKUP(B48,Vandgennemstrømning!$T$41:$AH$262,15,FALSE))</f>
        <v/>
      </c>
      <c r="E48" s="99"/>
    </row>
    <row r="49" spans="2:5">
      <c r="B49" s="172"/>
      <c r="C49" s="172"/>
      <c r="D49" s="129" t="str">
        <f>IF(ISERROR(VLOOKUP(B49,Vandgennemstrømning!$T$41:$AH$262,15,FALSE)),"",VLOOKUP(B49,Vandgennemstrømning!$T$41:$AH$262,15,FALSE))</f>
        <v/>
      </c>
      <c r="E49" s="99"/>
    </row>
    <row r="50" spans="2:5">
      <c r="B50" s="172"/>
      <c r="C50" s="172"/>
      <c r="D50" s="129" t="str">
        <f>IF(ISERROR(VLOOKUP(B50,Vandgennemstrømning!$T$41:$AH$262,15,FALSE)),"",VLOOKUP(B50,Vandgennemstrømning!$T$41:$AH$262,15,FALSE))</f>
        <v/>
      </c>
      <c r="E50" s="99"/>
    </row>
    <row r="51" spans="2:5">
      <c r="B51" s="172"/>
      <c r="C51" s="172"/>
      <c r="D51" s="129" t="str">
        <f>IF(ISERROR(VLOOKUP(B51,Vandgennemstrømning!$T$41:$AH$262,15,FALSE)),"",VLOOKUP(B51,Vandgennemstrømning!$T$41:$AH$262,15,FALSE))</f>
        <v/>
      </c>
      <c r="E51" s="99"/>
    </row>
    <row r="52" spans="2:5">
      <c r="B52" s="172"/>
      <c r="C52" s="172"/>
      <c r="D52" s="129" t="str">
        <f>IF(ISERROR(VLOOKUP(B52,Vandgennemstrømning!$T$41:$AH$262,15,FALSE)),"",VLOOKUP(B52,Vandgennemstrømning!$T$41:$AH$262,15,FALSE))</f>
        <v/>
      </c>
      <c r="E52" s="99"/>
    </row>
    <row r="53" spans="2:5">
      <c r="B53" s="172"/>
      <c r="C53" s="172"/>
      <c r="D53" s="129" t="str">
        <f>IF(ISERROR(VLOOKUP(B53,Vandgennemstrømning!$T$41:$AH$262,15,FALSE)),"",VLOOKUP(B53,Vandgennemstrømning!$T$41:$AH$262,15,FALSE))</f>
        <v/>
      </c>
      <c r="E53" s="99"/>
    </row>
    <row r="54" spans="2:5">
      <c r="B54" s="172"/>
      <c r="C54" s="172"/>
      <c r="D54" s="129" t="str">
        <f>IF(ISERROR(VLOOKUP(B54,Vandgennemstrømning!$T$41:$AH$262,15,FALSE)),"",VLOOKUP(B54,Vandgennemstrømning!$T$41:$AH$262,15,FALSE))</f>
        <v/>
      </c>
      <c r="E54" s="99"/>
    </row>
    <row r="55" spans="2:5">
      <c r="B55" s="172"/>
      <c r="C55" s="172"/>
      <c r="D55" s="129" t="str">
        <f>IF(ISERROR(VLOOKUP(B55,Vandgennemstrømning!$T$41:$AH$262,15,FALSE)),"",VLOOKUP(B55,Vandgennemstrømning!$T$41:$AH$262,15,FALSE))</f>
        <v/>
      </c>
      <c r="E55" s="99"/>
    </row>
    <row r="56" spans="2:5">
      <c r="B56" s="172"/>
      <c r="C56" s="172"/>
      <c r="D56" s="129" t="str">
        <f>IF(ISERROR(VLOOKUP(B56,Vandgennemstrømning!$T$41:$AH$262,15,FALSE)),"",VLOOKUP(B56,Vandgennemstrømning!$T$41:$AH$262,15,FALSE))</f>
        <v/>
      </c>
      <c r="E56" s="99"/>
    </row>
    <row r="57" spans="2:5">
      <c r="B57" s="172"/>
      <c r="C57" s="172"/>
      <c r="D57" s="129" t="str">
        <f>IF(ISERROR(VLOOKUP(B57,Vandgennemstrømning!$T$41:$AH$262,15,FALSE)),"",VLOOKUP(B57,Vandgennemstrømning!$T$41:$AH$262,15,FALSE))</f>
        <v/>
      </c>
      <c r="E57" s="99"/>
    </row>
    <row r="58" spans="2:5">
      <c r="B58" s="172"/>
      <c r="C58" s="172"/>
      <c r="D58" s="129" t="str">
        <f>IF(ISERROR(VLOOKUP(B58,Vandgennemstrømning!$T$41:$AH$262,15,FALSE)),"",VLOOKUP(B58,Vandgennemstrømning!$T$41:$AH$262,15,FALSE))</f>
        <v/>
      </c>
      <c r="E58" s="99"/>
    </row>
    <row r="59" spans="2:5">
      <c r="B59" s="172"/>
      <c r="C59" s="172"/>
      <c r="D59" s="129" t="str">
        <f>IF(ISERROR(VLOOKUP(B59,Vandgennemstrømning!$T$41:$AH$262,15,FALSE)),"",VLOOKUP(B59,Vandgennemstrømning!$T$41:$AH$262,15,FALSE))</f>
        <v/>
      </c>
      <c r="E59" s="99"/>
    </row>
    <row r="60" spans="2:5">
      <c r="B60" s="172"/>
      <c r="C60" s="172"/>
      <c r="D60" s="129" t="str">
        <f>IF(ISERROR(VLOOKUP(B60,Vandgennemstrømning!$T$41:$AH$262,15,FALSE)),"",VLOOKUP(B60,Vandgennemstrømning!$T$41:$AH$262,15,FALSE))</f>
        <v/>
      </c>
      <c r="E60" s="99"/>
    </row>
    <row r="61" spans="2:5">
      <c r="B61" s="172"/>
      <c r="C61" s="172"/>
      <c r="D61" s="129" t="str">
        <f>IF(ISERROR(VLOOKUP(B61,Vandgennemstrømning!$T$41:$AH$262,15,FALSE)),"",VLOOKUP(B61,Vandgennemstrømning!$T$41:$AH$262,15,FALSE))</f>
        <v/>
      </c>
      <c r="E61" s="99"/>
    </row>
    <row r="62" spans="2:5">
      <c r="B62" s="172"/>
      <c r="C62" s="172"/>
      <c r="D62" s="129" t="str">
        <f>IF(ISERROR(VLOOKUP(B62,Vandgennemstrømning!$T$41:$AH$262,15,FALSE)),"",VLOOKUP(B62,Vandgennemstrømning!$T$41:$AH$262,15,FALSE))</f>
        <v/>
      </c>
      <c r="E62" s="99"/>
    </row>
    <row r="63" spans="2:5">
      <c r="B63" s="172"/>
      <c r="C63" s="172"/>
      <c r="D63" s="129" t="str">
        <f>IF(ISERROR(VLOOKUP(B63,Vandgennemstrømning!$T$41:$AH$262,15,FALSE)),"",VLOOKUP(B63,Vandgennemstrømning!$T$41:$AH$262,15,FALSE))</f>
        <v/>
      </c>
      <c r="E63" s="99"/>
    </row>
    <row r="64" spans="2:5">
      <c r="B64" s="172"/>
      <c r="C64" s="172"/>
      <c r="D64" s="129" t="str">
        <f>IF(ISERROR(VLOOKUP(B64,Vandgennemstrømning!$T$41:$AH$262,15,FALSE)),"",VLOOKUP(B64,Vandgennemstrømning!$T$41:$AH$262,15,FALSE))</f>
        <v/>
      </c>
      <c r="E64" s="99"/>
    </row>
    <row r="65" spans="2:5">
      <c r="B65" s="172"/>
      <c r="C65" s="172"/>
      <c r="D65" s="129" t="str">
        <f>IF(ISERROR(VLOOKUP(B65,Vandgennemstrømning!$T$41:$AH$262,15,FALSE)),"",VLOOKUP(B65,Vandgennemstrømning!$T$41:$AH$262,15,FALSE))</f>
        <v/>
      </c>
      <c r="E65" s="99"/>
    </row>
    <row r="66" spans="2:5">
      <c r="B66" s="172"/>
      <c r="C66" s="172"/>
      <c r="D66" s="129" t="str">
        <f>IF(ISERROR(VLOOKUP(B66,Vandgennemstrømning!$T$41:$AH$262,15,FALSE)),"",VLOOKUP(B66,Vandgennemstrømning!$T$41:$AH$262,15,FALSE))</f>
        <v/>
      </c>
      <c r="E66" s="99"/>
    </row>
    <row r="67" spans="2:5">
      <c r="B67" s="172"/>
      <c r="C67" s="172"/>
      <c r="D67" s="129" t="str">
        <f>IF(ISERROR(VLOOKUP(B67,Vandgennemstrømning!$T$41:$AH$262,15,FALSE)),"",VLOOKUP(B67,Vandgennemstrømning!$T$41:$AH$262,15,FALSE))</f>
        <v/>
      </c>
      <c r="E67" s="99"/>
    </row>
    <row r="68" spans="2:5">
      <c r="B68" s="172"/>
      <c r="C68" s="172"/>
      <c r="D68" s="129" t="str">
        <f>IF(ISERROR(VLOOKUP(B68,Vandgennemstrømning!$T$41:$AH$262,15,FALSE)),"",VLOOKUP(B68,Vandgennemstrømning!$T$41:$AH$262,15,FALSE))</f>
        <v/>
      </c>
      <c r="E68" s="99"/>
    </row>
    <row r="69" spans="2:5">
      <c r="B69" s="172"/>
      <c r="C69" s="172"/>
      <c r="D69" s="129" t="str">
        <f>IF(ISERROR(VLOOKUP(B69,Vandgennemstrømning!$T$41:$AH$262,15,FALSE)),"",VLOOKUP(B69,Vandgennemstrømning!$T$41:$AH$262,15,FALSE))</f>
        <v/>
      </c>
      <c r="E69" s="99"/>
    </row>
    <row r="70" spans="2:5">
      <c r="B70" s="172"/>
      <c r="C70" s="172"/>
      <c r="D70" s="129" t="str">
        <f>IF(ISERROR(VLOOKUP(B70,Vandgennemstrømning!$T$41:$AH$262,15,FALSE)),"",VLOOKUP(B70,Vandgennemstrømning!$T$41:$AH$262,15,FALSE))</f>
        <v/>
      </c>
      <c r="E70" s="99"/>
    </row>
    <row r="71" spans="2:5">
      <c r="B71" s="172"/>
      <c r="C71" s="172"/>
      <c r="D71" s="129" t="str">
        <f>IF(ISERROR(VLOOKUP(B71,Vandgennemstrømning!$T$41:$AH$262,15,FALSE)),"",VLOOKUP(B71,Vandgennemstrømning!$T$41:$AH$262,15,FALSE))</f>
        <v/>
      </c>
      <c r="E71" s="99"/>
    </row>
    <row r="72" spans="2:5">
      <c r="B72" s="172"/>
      <c r="C72" s="172"/>
      <c r="D72" s="129" t="str">
        <f>IF(ISERROR(VLOOKUP(B72,Vandgennemstrømning!$T$41:$AH$262,15,FALSE)),"",VLOOKUP(B72,Vandgennemstrømning!$T$41:$AH$262,15,FALSE))</f>
        <v/>
      </c>
      <c r="E72" s="99"/>
    </row>
    <row r="73" spans="2:5">
      <c r="B73" s="172"/>
      <c r="C73" s="172"/>
      <c r="D73" s="129" t="str">
        <f>IF(ISERROR(VLOOKUP(B73,Vandgennemstrømning!$T$41:$AH$262,15,FALSE)),"",VLOOKUP(B73,Vandgennemstrømning!$T$41:$AH$262,15,FALSE))</f>
        <v/>
      </c>
      <c r="E73" s="99"/>
    </row>
    <row r="74" spans="2:5">
      <c r="B74" s="172"/>
      <c r="C74" s="172"/>
      <c r="D74" s="129" t="str">
        <f>IF(ISERROR(VLOOKUP(B74,Vandgennemstrømning!$T$41:$AH$262,15,FALSE)),"",VLOOKUP(B74,Vandgennemstrømning!$T$41:$AH$262,15,FALSE))</f>
        <v/>
      </c>
      <c r="E74" s="99"/>
    </row>
    <row r="75" spans="2:5">
      <c r="B75" s="172"/>
      <c r="C75" s="172"/>
      <c r="D75" s="129" t="str">
        <f>IF(ISERROR(VLOOKUP(B75,Vandgennemstrømning!$T$41:$AH$262,15,FALSE)),"",VLOOKUP(B75,Vandgennemstrømning!$T$41:$AH$262,15,FALSE))</f>
        <v/>
      </c>
      <c r="E75" s="99"/>
    </row>
    <row r="76" spans="2:5">
      <c r="B76" s="172"/>
      <c r="C76" s="172"/>
      <c r="D76" s="129" t="str">
        <f>IF(ISERROR(VLOOKUP(B76,Vandgennemstrømning!$T$41:$AH$262,15,FALSE)),"",VLOOKUP(B76,Vandgennemstrømning!$T$41:$AH$262,15,FALSE))</f>
        <v/>
      </c>
      <c r="E76" s="99"/>
    </row>
    <row r="77" spans="2:5">
      <c r="B77" s="172"/>
      <c r="C77" s="172"/>
      <c r="D77" s="129" t="str">
        <f>IF(ISERROR(VLOOKUP(B77,Vandgennemstrømning!$T$41:$AH$262,15,FALSE)),"",VLOOKUP(B77,Vandgennemstrømning!$T$41:$AH$262,15,FALSE))</f>
        <v/>
      </c>
      <c r="E77" s="99"/>
    </row>
    <row r="78" spans="2:5">
      <c r="B78" s="172"/>
      <c r="C78" s="172"/>
      <c r="D78" s="129" t="str">
        <f>IF(ISERROR(VLOOKUP(B78,Vandgennemstrømning!$T$41:$AH$262,15,FALSE)),"",VLOOKUP(B78,Vandgennemstrømning!$T$41:$AH$262,15,FALSE))</f>
        <v/>
      </c>
      <c r="E78" s="99"/>
    </row>
    <row r="79" spans="2:5">
      <c r="B79" s="172"/>
      <c r="C79" s="172"/>
      <c r="D79" s="129" t="str">
        <f>IF(ISERROR(VLOOKUP(B79,Vandgennemstrømning!$T$41:$AH$262,15,FALSE)),"",VLOOKUP(B79,Vandgennemstrømning!$T$41:$AH$262,15,FALSE))</f>
        <v/>
      </c>
      <c r="E79" s="99"/>
    </row>
    <row r="80" spans="2:5">
      <c r="B80" s="172"/>
      <c r="C80" s="172"/>
      <c r="D80" s="129" t="str">
        <f>IF(ISERROR(VLOOKUP(B80,Vandgennemstrømning!$T$41:$AH$262,15,FALSE)),"",VLOOKUP(B80,Vandgennemstrømning!$T$41:$AH$262,15,FALSE))</f>
        <v/>
      </c>
      <c r="E80" s="99"/>
    </row>
    <row r="81" spans="2:5">
      <c r="B81" s="172"/>
      <c r="C81" s="172"/>
      <c r="D81" s="129" t="str">
        <f>IF(ISERROR(VLOOKUP(B81,Vandgennemstrømning!$T$41:$AH$262,15,FALSE)),"",VLOOKUP(B81,Vandgennemstrømning!$T$41:$AH$262,15,FALSE))</f>
        <v/>
      </c>
      <c r="E81" s="99"/>
    </row>
    <row r="82" spans="2:5">
      <c r="B82" s="172"/>
      <c r="C82" s="172"/>
      <c r="D82" s="129" t="str">
        <f>IF(ISERROR(VLOOKUP(B82,Vandgennemstrømning!$T$41:$AH$262,15,FALSE)),"",VLOOKUP(B82,Vandgennemstrømning!$T$41:$AH$262,15,FALSE))</f>
        <v/>
      </c>
      <c r="E82" s="99"/>
    </row>
    <row r="83" spans="2:5">
      <c r="B83" s="172"/>
      <c r="C83" s="172"/>
      <c r="D83" s="129" t="str">
        <f>IF(ISERROR(VLOOKUP(B83,Vandgennemstrømning!$T$41:$AH$262,15,FALSE)),"",VLOOKUP(B83,Vandgennemstrømning!$T$41:$AH$262,15,FALSE))</f>
        <v/>
      </c>
      <c r="E83" s="99"/>
    </row>
    <row r="84" spans="2:5">
      <c r="B84" s="172"/>
      <c r="C84" s="172"/>
      <c r="D84" s="129" t="str">
        <f>IF(ISERROR(VLOOKUP(B84,Vandgennemstrømning!$T$41:$AH$262,15,FALSE)),"",VLOOKUP(B84,Vandgennemstrømning!$T$41:$AH$262,15,FALSE))</f>
        <v/>
      </c>
      <c r="E84" s="99"/>
    </row>
    <row r="85" spans="2:5">
      <c r="B85" s="172"/>
      <c r="C85" s="172"/>
      <c r="D85" s="129" t="str">
        <f>IF(ISERROR(VLOOKUP(B85,Vandgennemstrømning!$T$41:$AH$262,15,FALSE)),"",VLOOKUP(B85,Vandgennemstrømning!$T$41:$AH$262,15,FALSE))</f>
        <v/>
      </c>
      <c r="E85" s="99"/>
    </row>
    <row r="86" spans="2:5">
      <c r="B86" s="172"/>
      <c r="C86" s="172"/>
      <c r="D86" s="129" t="str">
        <f>IF(ISERROR(VLOOKUP(B86,Vandgennemstrømning!$T$41:$AH$262,15,FALSE)),"",VLOOKUP(B86,Vandgennemstrømning!$T$41:$AH$262,15,FALSE))</f>
        <v/>
      </c>
      <c r="E86" s="99"/>
    </row>
    <row r="87" spans="2:5">
      <c r="B87" s="172"/>
      <c r="C87" s="172"/>
      <c r="D87" s="129" t="str">
        <f>IF(ISERROR(VLOOKUP(B87,Vandgennemstrømning!$T$41:$AH$262,15,FALSE)),"",VLOOKUP(B87,Vandgennemstrømning!$T$41:$AH$262,15,FALSE))</f>
        <v/>
      </c>
      <c r="E87" s="99"/>
    </row>
    <row r="88" spans="2:5">
      <c r="B88" s="172"/>
      <c r="C88" s="172"/>
      <c r="D88" s="129" t="str">
        <f>IF(ISERROR(VLOOKUP(B88,Vandgennemstrømning!$T$41:$AH$262,15,FALSE)),"",VLOOKUP(B88,Vandgennemstrømning!$T$41:$AH$262,15,FALSE))</f>
        <v/>
      </c>
      <c r="E88" s="99"/>
    </row>
    <row r="89" spans="2:5">
      <c r="B89" s="172"/>
      <c r="C89" s="172"/>
      <c r="D89" s="129" t="str">
        <f>IF(ISERROR(VLOOKUP(B89,Vandgennemstrømning!$T$41:$AH$262,15,FALSE)),"",VLOOKUP(B89,Vandgennemstrømning!$T$41:$AH$262,15,FALSE))</f>
        <v/>
      </c>
      <c r="E89" s="99"/>
    </row>
    <row r="90" spans="2:5">
      <c r="B90" s="172"/>
      <c r="C90" s="172"/>
      <c r="D90" s="129" t="str">
        <f>IF(ISERROR(VLOOKUP(B90,Vandgennemstrømning!$T$41:$AH$262,15,FALSE)),"",VLOOKUP(B90,Vandgennemstrømning!$T$41:$AH$262,15,FALSE))</f>
        <v/>
      </c>
      <c r="E90" s="99"/>
    </row>
    <row r="91" spans="2:5">
      <c r="B91" s="172"/>
      <c r="C91" s="172"/>
      <c r="D91" s="129" t="str">
        <f>IF(ISERROR(VLOOKUP(B91,Vandgennemstrømning!$T$41:$AH$262,15,FALSE)),"",VLOOKUP(B91,Vandgennemstrømning!$T$41:$AH$262,15,FALSE))</f>
        <v/>
      </c>
      <c r="E91" s="99"/>
    </row>
    <row r="92" spans="2:5">
      <c r="B92" s="172"/>
      <c r="C92" s="172"/>
      <c r="D92" s="129" t="str">
        <f>IF(ISERROR(VLOOKUP(B92,Vandgennemstrømning!$T$41:$AH$262,15,FALSE)),"",VLOOKUP(B92,Vandgennemstrømning!$T$41:$AH$262,15,FALSE))</f>
        <v/>
      </c>
      <c r="E92" s="99"/>
    </row>
    <row r="93" spans="2:5">
      <c r="B93" s="172"/>
      <c r="C93" s="172"/>
      <c r="D93" s="129" t="str">
        <f>IF(ISERROR(VLOOKUP(B93,Vandgennemstrømning!$T$41:$AH$262,15,FALSE)),"",VLOOKUP(B93,Vandgennemstrømning!$T$41:$AH$262,15,FALSE))</f>
        <v/>
      </c>
      <c r="E93" s="99"/>
    </row>
    <row r="94" spans="2:5">
      <c r="B94" s="172"/>
      <c r="C94" s="172"/>
      <c r="D94" s="129" t="str">
        <f>IF(ISERROR(VLOOKUP(B94,Vandgennemstrømning!$T$41:$AH$262,15,FALSE)),"",VLOOKUP(B94,Vandgennemstrømning!$T$41:$AH$262,15,FALSE))</f>
        <v/>
      </c>
      <c r="E94" s="99"/>
    </row>
    <row r="95" spans="2:5">
      <c r="B95" s="172"/>
      <c r="C95" s="172"/>
      <c r="D95" s="129" t="str">
        <f>IF(ISERROR(VLOOKUP(B95,Vandgennemstrømning!$T$41:$AH$262,15,FALSE)),"",VLOOKUP(B95,Vandgennemstrømning!$T$41:$AH$262,15,FALSE))</f>
        <v/>
      </c>
      <c r="E95" s="99"/>
    </row>
    <row r="96" spans="2:5">
      <c r="B96" s="172"/>
      <c r="C96" s="172"/>
      <c r="D96" s="129" t="str">
        <f>IF(ISERROR(VLOOKUP(B96,Vandgennemstrømning!$T$41:$AH$262,15,FALSE)),"",VLOOKUP(B96,Vandgennemstrømning!$T$41:$AH$262,15,FALSE))</f>
        <v/>
      </c>
      <c r="E96" s="99"/>
    </row>
    <row r="97" spans="2:5">
      <c r="B97" s="172"/>
      <c r="C97" s="172"/>
      <c r="D97" s="129" t="str">
        <f>IF(ISERROR(VLOOKUP(B97,Vandgennemstrømning!$T$41:$AH$262,15,FALSE)),"",VLOOKUP(B97,Vandgennemstrømning!$T$41:$AH$262,15,FALSE))</f>
        <v/>
      </c>
      <c r="E97" s="99"/>
    </row>
    <row r="98" spans="2:5">
      <c r="B98" s="172"/>
      <c r="C98" s="172"/>
      <c r="D98" s="129" t="str">
        <f>IF(ISERROR(VLOOKUP(B98,Vandgennemstrømning!$T$41:$AH$262,15,FALSE)),"",VLOOKUP(B98,Vandgennemstrømning!$T$41:$AH$262,15,FALSE))</f>
        <v/>
      </c>
      <c r="E98" s="99"/>
    </row>
    <row r="99" spans="2:5">
      <c r="B99" s="172"/>
      <c r="C99" s="172"/>
      <c r="D99" s="129" t="str">
        <f>IF(ISERROR(VLOOKUP(B99,Vandgennemstrømning!$T$41:$AH$262,15,FALSE)),"",VLOOKUP(B99,Vandgennemstrømning!$T$41:$AH$262,15,FALSE))</f>
        <v/>
      </c>
      <c r="E99" s="99"/>
    </row>
    <row r="100" spans="2:5">
      <c r="B100" s="172"/>
      <c r="C100" s="172"/>
      <c r="D100" s="129" t="str">
        <f>IF(ISERROR(VLOOKUP(B100,Vandgennemstrømning!$T$41:$AH$262,15,FALSE)),"",VLOOKUP(B100,Vandgennemstrømning!$T$41:$AH$262,15,FALSE))</f>
        <v/>
      </c>
      <c r="E100" s="99"/>
    </row>
    <row r="101" spans="2:5">
      <c r="B101" s="172"/>
      <c r="C101" s="172"/>
      <c r="D101" s="129" t="str">
        <f>IF(ISERROR(VLOOKUP(B101,Vandgennemstrømning!$T$41:$AH$262,15,FALSE)),"",VLOOKUP(B101,Vandgennemstrømning!$T$41:$AH$262,15,FALSE))</f>
        <v/>
      </c>
      <c r="E101" s="99"/>
    </row>
    <row r="102" spans="2:5">
      <c r="B102" s="172"/>
      <c r="C102" s="172"/>
      <c r="D102" s="129" t="str">
        <f>IF(ISERROR(VLOOKUP(B102,Vandgennemstrømning!$T$41:$AH$262,15,FALSE)),"",VLOOKUP(B102,Vandgennemstrømning!$T$41:$AH$262,15,FALSE))</f>
        <v/>
      </c>
      <c r="E102" s="99"/>
    </row>
    <row r="103" spans="2:5">
      <c r="B103" s="172"/>
      <c r="C103" s="172"/>
      <c r="D103" s="129" t="str">
        <f>IF(ISERROR(VLOOKUP(B103,Vandgennemstrømning!$T$41:$AH$262,15,FALSE)),"",VLOOKUP(B103,Vandgennemstrømning!$T$41:$AH$262,15,FALSE))</f>
        <v/>
      </c>
      <c r="E103" s="99"/>
    </row>
    <row r="104" spans="2:5">
      <c r="B104" s="172"/>
      <c r="C104" s="172"/>
      <c r="D104" s="129" t="str">
        <f>IF(ISERROR(VLOOKUP(B104,Vandgennemstrømning!$T$41:$AH$262,15,FALSE)),"",VLOOKUP(B104,Vandgennemstrømning!$T$41:$AH$262,15,FALSE))</f>
        <v/>
      </c>
      <c r="E104" s="99"/>
    </row>
    <row r="105" spans="2:5">
      <c r="B105" s="172"/>
      <c r="C105" s="172"/>
      <c r="D105" s="129" t="str">
        <f>IF(ISERROR(VLOOKUP(B105,Vandgennemstrømning!$T$41:$AH$262,15,FALSE)),"",VLOOKUP(B105,Vandgennemstrømning!$T$41:$AH$262,15,FALSE))</f>
        <v/>
      </c>
      <c r="E105" s="99"/>
    </row>
    <row r="106" spans="2:5">
      <c r="B106" s="172"/>
      <c r="C106" s="172"/>
      <c r="D106" s="129" t="str">
        <f>IF(ISERROR(VLOOKUP(B106,Vandgennemstrømning!$T$41:$AH$262,15,FALSE)),"",VLOOKUP(B106,Vandgennemstrømning!$T$41:$AH$262,15,FALSE))</f>
        <v/>
      </c>
      <c r="E106" s="99"/>
    </row>
    <row r="107" spans="2:5">
      <c r="B107" s="172"/>
      <c r="C107" s="172"/>
      <c r="D107" s="129" t="str">
        <f>IF(ISERROR(VLOOKUP(B107,Vandgennemstrømning!$T$41:$AH$262,15,FALSE)),"",VLOOKUP(B107,Vandgennemstrømning!$T$41:$AH$262,15,FALSE))</f>
        <v/>
      </c>
      <c r="E107" s="99"/>
    </row>
    <row r="108" spans="2:5">
      <c r="B108" s="172"/>
      <c r="C108" s="172"/>
      <c r="D108" s="129" t="str">
        <f>IF(ISERROR(VLOOKUP(B108,Vandgennemstrømning!$T$41:$AH$262,15,FALSE)),"",VLOOKUP(B108,Vandgennemstrømning!$T$41:$AH$262,15,FALSE))</f>
        <v/>
      </c>
      <c r="E108" s="99"/>
    </row>
    <row r="109" spans="2:5">
      <c r="B109" s="172"/>
      <c r="C109" s="172"/>
      <c r="D109" s="129" t="str">
        <f>IF(ISERROR(VLOOKUP(B109,Vandgennemstrømning!$T$41:$AH$262,15,FALSE)),"",VLOOKUP(B109,Vandgennemstrømning!$T$41:$AH$262,15,FALSE))</f>
        <v/>
      </c>
      <c r="E109" s="99"/>
    </row>
    <row r="110" spans="2:5">
      <c r="B110" s="172"/>
      <c r="C110" s="172"/>
      <c r="D110" s="129" t="str">
        <f>IF(ISERROR(VLOOKUP(B110,Vandgennemstrømning!$T$41:$AH$262,15,FALSE)),"",VLOOKUP(B110,Vandgennemstrømning!$T$41:$AH$262,15,FALSE))</f>
        <v/>
      </c>
      <c r="E110" s="99"/>
    </row>
    <row r="111" spans="2:5">
      <c r="B111" s="172"/>
      <c r="C111" s="172"/>
      <c r="D111" s="129" t="str">
        <f>IF(ISERROR(VLOOKUP(B111,Vandgennemstrømning!$T$41:$AH$262,15,FALSE)),"",VLOOKUP(B111,Vandgennemstrømning!$T$41:$AH$262,15,FALSE))</f>
        <v/>
      </c>
      <c r="E111" s="99"/>
    </row>
    <row r="112" spans="2:5">
      <c r="B112" s="172"/>
      <c r="C112" s="172"/>
      <c r="D112" s="129" t="str">
        <f>IF(ISERROR(VLOOKUP(B112,Vandgennemstrømning!$T$41:$AH$262,15,FALSE)),"",VLOOKUP(B112,Vandgennemstrømning!$T$41:$AH$262,15,FALSE))</f>
        <v/>
      </c>
      <c r="E112" s="99"/>
    </row>
    <row r="113" spans="2:5">
      <c r="B113" s="172"/>
      <c r="C113" s="172"/>
      <c r="D113" s="129" t="str">
        <f>IF(ISERROR(VLOOKUP(B113,Vandgennemstrømning!$T$41:$AH$262,15,FALSE)),"",VLOOKUP(B113,Vandgennemstrømning!$T$41:$AH$262,15,FALSE))</f>
        <v/>
      </c>
      <c r="E113" s="99"/>
    </row>
    <row r="114" spans="2:5">
      <c r="B114" s="172"/>
      <c r="C114" s="172"/>
      <c r="D114" s="129" t="str">
        <f>IF(ISERROR(VLOOKUP(B114,Vandgennemstrømning!$T$41:$AH$262,15,FALSE)),"",VLOOKUP(B114,Vandgennemstrømning!$T$41:$AH$262,15,FALSE))</f>
        <v/>
      </c>
      <c r="E114" s="99"/>
    </row>
    <row r="115" spans="2:5">
      <c r="B115" s="172"/>
      <c r="C115" s="172"/>
      <c r="D115" s="129" t="str">
        <f>IF(ISERROR(VLOOKUP(B115,Vandgennemstrømning!$T$41:$AH$262,15,FALSE)),"",VLOOKUP(B115,Vandgennemstrømning!$T$41:$AH$262,15,FALSE))</f>
        <v/>
      </c>
      <c r="E115" s="99"/>
    </row>
    <row r="116" spans="2:5">
      <c r="B116" s="172"/>
      <c r="C116" s="172"/>
      <c r="D116" s="129" t="str">
        <f>IF(ISERROR(VLOOKUP(B116,Vandgennemstrømning!$T$41:$AH$262,15,FALSE)),"",VLOOKUP(B116,Vandgennemstrømning!$T$41:$AH$262,15,FALSE))</f>
        <v/>
      </c>
      <c r="E116" s="99"/>
    </row>
    <row r="117" spans="2:5">
      <c r="B117" s="172"/>
      <c r="C117" s="172"/>
      <c r="D117" s="129" t="str">
        <f>IF(ISERROR(VLOOKUP(B117,Vandgennemstrømning!$T$41:$AH$262,15,FALSE)),"",VLOOKUP(B117,Vandgennemstrømning!$T$41:$AH$262,15,FALSE))</f>
        <v/>
      </c>
      <c r="E117" s="99"/>
    </row>
    <row r="118" spans="2:5">
      <c r="B118" s="172"/>
      <c r="C118" s="172"/>
      <c r="D118" s="129" t="str">
        <f>IF(ISERROR(VLOOKUP(B118,Vandgennemstrømning!$T$41:$AH$262,15,FALSE)),"",VLOOKUP(B118,Vandgennemstrømning!$T$41:$AH$262,15,FALSE))</f>
        <v/>
      </c>
      <c r="E118" s="99"/>
    </row>
    <row r="119" spans="2:5">
      <c r="B119" s="172"/>
      <c r="C119" s="172"/>
      <c r="D119" s="129" t="str">
        <f>IF(ISERROR(VLOOKUP(B119,Vandgennemstrømning!$T$41:$AH$262,15,FALSE)),"",VLOOKUP(B119,Vandgennemstrømning!$T$41:$AH$262,15,FALSE))</f>
        <v/>
      </c>
      <c r="E119" s="99"/>
    </row>
    <row r="120" spans="2:5">
      <c r="B120" s="172"/>
      <c r="C120" s="172"/>
      <c r="D120" s="129" t="str">
        <f>IF(ISERROR(VLOOKUP(B120,Vandgennemstrømning!$T$41:$AH$262,15,FALSE)),"",VLOOKUP(B120,Vandgennemstrømning!$T$41:$AH$262,15,FALSE))</f>
        <v/>
      </c>
      <c r="E120" s="99"/>
    </row>
    <row r="121" spans="2:5">
      <c r="B121" s="172"/>
      <c r="C121" s="172"/>
      <c r="D121" s="129" t="str">
        <f>IF(ISERROR(VLOOKUP(B121,Vandgennemstrømning!$T$41:$AH$262,15,FALSE)),"",VLOOKUP(B121,Vandgennemstrømning!$T$41:$AH$262,15,FALSE))</f>
        <v/>
      </c>
      <c r="E121" s="99"/>
    </row>
    <row r="122" spans="2:5">
      <c r="B122" s="172"/>
      <c r="C122" s="172"/>
      <c r="D122" s="129" t="str">
        <f>IF(ISERROR(VLOOKUP(B122,Vandgennemstrømning!$T$41:$AH$262,15,FALSE)),"",VLOOKUP(B122,Vandgennemstrømning!$T$41:$AH$262,15,FALSE))</f>
        <v/>
      </c>
      <c r="E122" s="99"/>
    </row>
    <row r="123" spans="2:5">
      <c r="B123" s="172"/>
      <c r="C123" s="172"/>
      <c r="D123" s="129" t="str">
        <f>IF(ISERROR(VLOOKUP(B123,Vandgennemstrømning!$T$41:$AH$262,15,FALSE)),"",VLOOKUP(B123,Vandgennemstrømning!$T$41:$AH$262,15,FALSE))</f>
        <v/>
      </c>
      <c r="E123" s="99"/>
    </row>
    <row r="124" spans="2:5">
      <c r="B124" s="172"/>
      <c r="C124" s="172"/>
      <c r="D124" s="129" t="str">
        <f>IF(ISERROR(VLOOKUP(B124,Vandgennemstrømning!$T$41:$AH$262,15,FALSE)),"",VLOOKUP(B124,Vandgennemstrømning!$T$41:$AH$262,15,FALSE))</f>
        <v/>
      </c>
      <c r="E124" s="99"/>
    </row>
    <row r="125" spans="2:5">
      <c r="B125" s="172"/>
      <c r="C125" s="172"/>
      <c r="D125" s="129" t="str">
        <f>IF(ISERROR(VLOOKUP(B125,Vandgennemstrømning!$T$41:$AH$262,15,FALSE)),"",VLOOKUP(B125,Vandgennemstrømning!$T$41:$AH$262,15,FALSE))</f>
        <v/>
      </c>
      <c r="E125" s="99"/>
    </row>
    <row r="126" spans="2:5">
      <c r="B126" s="172"/>
      <c r="C126" s="172"/>
      <c r="D126" s="129" t="str">
        <f>IF(ISERROR(VLOOKUP(B126,Vandgennemstrømning!$T$41:$AH$262,15,FALSE)),"",VLOOKUP(B126,Vandgennemstrømning!$T$41:$AH$262,15,FALSE))</f>
        <v/>
      </c>
      <c r="E126" s="99"/>
    </row>
    <row r="127" spans="2:5">
      <c r="B127" s="172"/>
      <c r="C127" s="172"/>
      <c r="D127" s="129" t="str">
        <f>IF(ISERROR(VLOOKUP(B127,Vandgennemstrømning!$T$41:$AH$262,15,FALSE)),"",VLOOKUP(B127,Vandgennemstrømning!$T$41:$AH$262,15,FALSE))</f>
        <v/>
      </c>
      <c r="E127" s="99"/>
    </row>
    <row r="128" spans="2:5">
      <c r="B128" s="172"/>
      <c r="C128" s="172"/>
      <c r="D128" s="129" t="str">
        <f>IF(ISERROR(VLOOKUP(B128,Vandgennemstrømning!$T$41:$AH$262,15,FALSE)),"",VLOOKUP(B128,Vandgennemstrømning!$T$41:$AH$262,15,FALSE))</f>
        <v/>
      </c>
      <c r="E128" s="99"/>
    </row>
    <row r="129" spans="2:5">
      <c r="B129" s="172"/>
      <c r="C129" s="172"/>
      <c r="D129" s="129" t="str">
        <f>IF(ISERROR(VLOOKUP(B129,Vandgennemstrømning!$T$41:$AH$262,15,FALSE)),"",VLOOKUP(B129,Vandgennemstrømning!$T$41:$AH$262,15,FALSE))</f>
        <v/>
      </c>
      <c r="E129" s="99"/>
    </row>
    <row r="130" spans="2:5">
      <c r="B130" s="172"/>
      <c r="C130" s="172"/>
      <c r="D130" s="129" t="str">
        <f>IF(ISERROR(VLOOKUP(B130,Vandgennemstrømning!$T$41:$AH$262,15,FALSE)),"",VLOOKUP(B130,Vandgennemstrømning!$T$41:$AH$262,15,FALSE))</f>
        <v/>
      </c>
      <c r="E130" s="99"/>
    </row>
    <row r="131" spans="2:5">
      <c r="B131" s="172"/>
      <c r="C131" s="172"/>
      <c r="D131" s="129" t="str">
        <f>IF(ISERROR(VLOOKUP(B131,Vandgennemstrømning!$T$41:$AH$262,15,FALSE)),"",VLOOKUP(B131,Vandgennemstrømning!$T$41:$AH$262,15,FALSE))</f>
        <v/>
      </c>
      <c r="E131" s="99"/>
    </row>
    <row r="132" spans="2:5">
      <c r="B132" s="172"/>
      <c r="C132" s="172"/>
      <c r="D132" s="129" t="str">
        <f>IF(ISERROR(VLOOKUP(B132,Vandgennemstrømning!$T$41:$AH$262,15,FALSE)),"",VLOOKUP(B132,Vandgennemstrømning!$T$41:$AH$262,15,FALSE))</f>
        <v/>
      </c>
      <c r="E132" s="99"/>
    </row>
    <row r="133" spans="2:5">
      <c r="B133" s="172"/>
      <c r="C133" s="172"/>
      <c r="D133" s="129" t="str">
        <f>IF(ISERROR(VLOOKUP(B133,Vandgennemstrømning!$T$41:$AH$262,15,FALSE)),"",VLOOKUP(B133,Vandgennemstrømning!$T$41:$AH$262,15,FALSE))</f>
        <v/>
      </c>
      <c r="E133" s="99"/>
    </row>
    <row r="134" spans="2:5">
      <c r="B134" s="172"/>
      <c r="C134" s="172"/>
      <c r="D134" s="129" t="str">
        <f>IF(ISERROR(VLOOKUP(B134,Vandgennemstrømning!$T$41:$AH$262,15,FALSE)),"",VLOOKUP(B134,Vandgennemstrømning!$T$41:$AH$262,15,FALSE))</f>
        <v/>
      </c>
      <c r="E134" s="99"/>
    </row>
    <row r="135" spans="2:5">
      <c r="B135" s="172"/>
      <c r="C135" s="172"/>
      <c r="D135" s="129" t="str">
        <f>IF(ISERROR(VLOOKUP(B135,Vandgennemstrømning!$T$41:$AH$262,15,FALSE)),"",VLOOKUP(B135,Vandgennemstrømning!$T$41:$AH$262,15,FALSE))</f>
        <v/>
      </c>
      <c r="E135" s="99"/>
    </row>
    <row r="136" spans="2:5">
      <c r="B136" s="172"/>
      <c r="C136" s="172"/>
      <c r="D136" s="129" t="str">
        <f>IF(ISERROR(VLOOKUP(B136,Vandgennemstrømning!$T$41:$AH$262,15,FALSE)),"",VLOOKUP(B136,Vandgennemstrømning!$T$41:$AH$262,15,FALSE))</f>
        <v/>
      </c>
      <c r="E136" s="99"/>
    </row>
    <row r="137" spans="2:5">
      <c r="B137" s="172"/>
      <c r="C137" s="172"/>
      <c r="D137" s="129" t="str">
        <f>IF(ISERROR(VLOOKUP(B137,Vandgennemstrømning!$T$41:$AH$262,15,FALSE)),"",VLOOKUP(B137,Vandgennemstrømning!$T$41:$AH$262,15,FALSE))</f>
        <v/>
      </c>
      <c r="E137" s="99"/>
    </row>
    <row r="138" spans="2:5">
      <c r="B138" s="172"/>
      <c r="C138" s="172"/>
      <c r="D138" s="129" t="str">
        <f>IF(ISERROR(VLOOKUP(B138,Vandgennemstrømning!$T$41:$AH$262,15,FALSE)),"",VLOOKUP(B138,Vandgennemstrømning!$T$41:$AH$262,15,FALSE))</f>
        <v/>
      </c>
      <c r="E138" s="99"/>
    </row>
    <row r="139" spans="2:5">
      <c r="B139" s="172"/>
      <c r="C139" s="172"/>
      <c r="D139" s="129" t="str">
        <f>IF(ISERROR(VLOOKUP(B139,Vandgennemstrømning!$T$41:$AH$262,15,FALSE)),"",VLOOKUP(B139,Vandgennemstrømning!$T$41:$AH$262,15,FALSE))</f>
        <v/>
      </c>
      <c r="E139" s="99"/>
    </row>
    <row r="140" spans="2:5">
      <c r="B140" s="172"/>
      <c r="C140" s="172"/>
      <c r="D140" s="129" t="str">
        <f>IF(ISERROR(VLOOKUP(B140,Vandgennemstrømning!$T$41:$AH$262,15,FALSE)),"",VLOOKUP(B140,Vandgennemstrømning!$T$41:$AH$262,15,FALSE))</f>
        <v/>
      </c>
      <c r="E140" s="99"/>
    </row>
    <row r="141" spans="2:5">
      <c r="B141" s="172"/>
      <c r="C141" s="172"/>
      <c r="D141" s="129" t="str">
        <f>IF(ISERROR(VLOOKUP(B141,Vandgennemstrømning!$T$41:$AH$262,15,FALSE)),"",VLOOKUP(B141,Vandgennemstrømning!$T$41:$AH$262,15,FALSE))</f>
        <v/>
      </c>
      <c r="E141" s="99"/>
    </row>
    <row r="142" spans="2:5">
      <c r="B142" s="172"/>
      <c r="C142" s="172"/>
      <c r="D142" s="129" t="str">
        <f>IF(ISERROR(VLOOKUP(B142,Vandgennemstrømning!$T$41:$AH$262,15,FALSE)),"",VLOOKUP(B142,Vandgennemstrømning!$T$41:$AH$262,15,FALSE))</f>
        <v/>
      </c>
      <c r="E142" s="99"/>
    </row>
    <row r="143" spans="2:5">
      <c r="B143" s="172"/>
      <c r="C143" s="172"/>
      <c r="D143" s="129" t="str">
        <f>IF(ISERROR(VLOOKUP(B143,Vandgennemstrømning!$T$41:$AH$262,15,FALSE)),"",VLOOKUP(B143,Vandgennemstrømning!$T$41:$AH$262,15,FALSE))</f>
        <v/>
      </c>
      <c r="E143" s="99"/>
    </row>
    <row r="144" spans="2:5">
      <c r="B144" s="172"/>
      <c r="C144" s="172"/>
      <c r="D144" s="129" t="str">
        <f>IF(ISERROR(VLOOKUP(B144,Vandgennemstrømning!$T$41:$AH$262,15,FALSE)),"",VLOOKUP(B144,Vandgennemstrømning!$T$41:$AH$262,15,FALSE))</f>
        <v/>
      </c>
      <c r="E144" s="99"/>
    </row>
    <row r="145" spans="2:5">
      <c r="B145" s="172"/>
      <c r="C145" s="172"/>
      <c r="D145" s="129" t="str">
        <f>IF(ISERROR(VLOOKUP(B145,Vandgennemstrømning!$T$41:$AH$262,15,FALSE)),"",VLOOKUP(B145,Vandgennemstrømning!$T$41:$AH$262,15,FALSE))</f>
        <v/>
      </c>
      <c r="E145" s="99"/>
    </row>
    <row r="146" spans="2:5">
      <c r="B146" s="172"/>
      <c r="C146" s="172"/>
      <c r="D146" s="129" t="str">
        <f>IF(ISERROR(VLOOKUP(B146,Vandgennemstrømning!$T$41:$AH$262,15,FALSE)),"",VLOOKUP(B146,Vandgennemstrømning!$T$41:$AH$262,15,FALSE))</f>
        <v/>
      </c>
      <c r="E146" s="99"/>
    </row>
    <row r="147" spans="2:5">
      <c r="B147" s="172"/>
      <c r="C147" s="172"/>
      <c r="D147" s="129" t="str">
        <f>IF(ISERROR(VLOOKUP(B147,Vandgennemstrømning!$T$41:$AH$262,15,FALSE)),"",VLOOKUP(B147,Vandgennemstrømning!$T$41:$AH$262,15,FALSE))</f>
        <v/>
      </c>
      <c r="E147" s="99"/>
    </row>
    <row r="148" spans="2:5">
      <c r="B148" s="172"/>
      <c r="C148" s="172"/>
      <c r="D148" s="129" t="str">
        <f>IF(ISERROR(VLOOKUP(B148,Vandgennemstrømning!$T$41:$AH$262,15,FALSE)),"",VLOOKUP(B148,Vandgennemstrømning!$T$41:$AH$262,15,FALSE))</f>
        <v/>
      </c>
      <c r="E148" s="99"/>
    </row>
    <row r="149" spans="2:5">
      <c r="B149" s="172"/>
      <c r="C149" s="172"/>
      <c r="D149" s="129" t="str">
        <f>IF(ISERROR(VLOOKUP(B149,Vandgennemstrømning!$T$41:$AH$262,15,FALSE)),"",VLOOKUP(B149,Vandgennemstrømning!$T$41:$AH$262,15,FALSE))</f>
        <v/>
      </c>
      <c r="E149" s="99"/>
    </row>
    <row r="150" spans="2:5">
      <c r="B150" s="172"/>
      <c r="C150" s="172"/>
      <c r="D150" s="129" t="str">
        <f>IF(ISERROR(VLOOKUP(B150,Vandgennemstrømning!$T$41:$AH$262,15,FALSE)),"",VLOOKUP(B150,Vandgennemstrømning!$T$41:$AH$262,15,FALSE))</f>
        <v/>
      </c>
      <c r="E150" s="99"/>
    </row>
    <row r="151" spans="2:5">
      <c r="B151" s="172"/>
      <c r="C151" s="172"/>
      <c r="D151" s="129" t="str">
        <f>IF(ISERROR(VLOOKUP(B151,Vandgennemstrømning!$T$41:$AH$262,15,FALSE)),"",VLOOKUP(B151,Vandgennemstrømning!$T$41:$AH$262,15,FALSE))</f>
        <v/>
      </c>
      <c r="E151" s="99"/>
    </row>
    <row r="152" spans="2:5">
      <c r="B152" s="172"/>
      <c r="C152" s="172"/>
      <c r="D152" s="129" t="str">
        <f>IF(ISERROR(VLOOKUP(B152,Vandgennemstrømning!$T$41:$AH$262,15,FALSE)),"",VLOOKUP(B152,Vandgennemstrømning!$T$41:$AH$262,15,FALSE))</f>
        <v/>
      </c>
      <c r="E152" s="99"/>
    </row>
    <row r="153" spans="2:5">
      <c r="B153" s="172"/>
      <c r="C153" s="172"/>
      <c r="D153" s="129" t="str">
        <f>IF(ISERROR(VLOOKUP(B153,Vandgennemstrømning!$T$41:$AH$262,15,FALSE)),"",VLOOKUP(B153,Vandgennemstrømning!$T$41:$AH$262,15,FALSE))</f>
        <v/>
      </c>
      <c r="E153" s="99"/>
    </row>
    <row r="154" spans="2:5">
      <c r="B154" s="172"/>
      <c r="C154" s="172"/>
      <c r="D154" s="129" t="str">
        <f>IF(ISERROR(VLOOKUP(B154,Vandgennemstrømning!$T$41:$AH$262,15,FALSE)),"",VLOOKUP(B154,Vandgennemstrømning!$T$41:$AH$262,15,FALSE))</f>
        <v/>
      </c>
      <c r="E154" s="99"/>
    </row>
    <row r="155" spans="2:5">
      <c r="B155" s="172"/>
      <c r="C155" s="172"/>
      <c r="D155" s="129" t="str">
        <f>IF(ISERROR(VLOOKUP(B155,Vandgennemstrømning!$T$41:$AH$262,15,FALSE)),"",VLOOKUP(B155,Vandgennemstrømning!$T$41:$AH$262,15,FALSE))</f>
        <v/>
      </c>
      <c r="E155" s="99"/>
    </row>
    <row r="156" spans="2:5">
      <c r="B156" s="172"/>
      <c r="C156" s="172"/>
      <c r="D156" s="129" t="str">
        <f>IF(ISERROR(VLOOKUP(B156,Vandgennemstrømning!$T$41:$AH$262,15,FALSE)),"",VLOOKUP(B156,Vandgennemstrømning!$T$41:$AH$262,15,FALSE))</f>
        <v/>
      </c>
      <c r="E156" s="99"/>
    </row>
    <row r="157" spans="2:5">
      <c r="B157" s="172"/>
      <c r="C157" s="172"/>
      <c r="D157" s="129" t="str">
        <f>IF(ISERROR(VLOOKUP(B157,Vandgennemstrømning!$T$41:$AH$262,15,FALSE)),"",VLOOKUP(B157,Vandgennemstrømning!$T$41:$AH$262,15,FALSE))</f>
        <v/>
      </c>
      <c r="E157" s="99"/>
    </row>
    <row r="158" spans="2:5">
      <c r="B158" s="172"/>
      <c r="C158" s="172"/>
      <c r="D158" s="129" t="str">
        <f>IF(ISERROR(VLOOKUP(B158,Vandgennemstrømning!$T$41:$AH$262,15,FALSE)),"",VLOOKUP(B158,Vandgennemstrømning!$T$41:$AH$262,15,FALSE))</f>
        <v/>
      </c>
      <c r="E158" s="99"/>
    </row>
    <row r="159" spans="2:5">
      <c r="B159" s="172"/>
      <c r="C159" s="172"/>
      <c r="D159" s="129" t="str">
        <f>IF(ISERROR(VLOOKUP(B159,Vandgennemstrømning!$T$41:$AH$262,15,FALSE)),"",VLOOKUP(B159,Vandgennemstrømning!$T$41:$AH$262,15,FALSE))</f>
        <v/>
      </c>
      <c r="E159" s="99"/>
    </row>
    <row r="160" spans="2:5">
      <c r="B160" s="172"/>
      <c r="C160" s="172"/>
      <c r="D160" s="129" t="str">
        <f>IF(ISERROR(VLOOKUP(B160,Vandgennemstrømning!$T$41:$AH$262,15,FALSE)),"",VLOOKUP(B160,Vandgennemstrømning!$T$41:$AH$262,15,FALSE))</f>
        <v/>
      </c>
      <c r="E160" s="99"/>
    </row>
    <row r="161" spans="2:5">
      <c r="B161" s="172"/>
      <c r="C161" s="172"/>
      <c r="D161" s="129" t="str">
        <f>IF(ISERROR(VLOOKUP(B161,Vandgennemstrømning!$T$41:$AH$262,15,FALSE)),"",VLOOKUP(B161,Vandgennemstrømning!$T$41:$AH$262,15,FALSE))</f>
        <v/>
      </c>
      <c r="E161" s="99"/>
    </row>
    <row r="162" spans="2:5">
      <c r="B162" s="172"/>
      <c r="C162" s="172"/>
      <c r="D162" s="129" t="str">
        <f>IF(ISERROR(VLOOKUP(B162,Vandgennemstrømning!$T$41:$AH$262,15,FALSE)),"",VLOOKUP(B162,Vandgennemstrømning!$T$41:$AH$262,15,FALSE))</f>
        <v/>
      </c>
      <c r="E162" s="99"/>
    </row>
    <row r="163" spans="2:5">
      <c r="B163" s="172"/>
      <c r="C163" s="172"/>
      <c r="D163" s="129" t="str">
        <f>IF(ISERROR(VLOOKUP(B163,Vandgennemstrømning!$T$41:$AH$262,15,FALSE)),"",VLOOKUP(B163,Vandgennemstrømning!$T$41:$AH$262,15,FALSE))</f>
        <v/>
      </c>
      <c r="E163" s="99"/>
    </row>
    <row r="164" spans="2:5">
      <c r="B164" s="172"/>
      <c r="C164" s="172"/>
      <c r="D164" s="129" t="str">
        <f>IF(ISERROR(VLOOKUP(B164,Vandgennemstrømning!$T$41:$AH$262,15,FALSE)),"",VLOOKUP(B164,Vandgennemstrømning!$T$41:$AH$262,15,FALSE))</f>
        <v/>
      </c>
      <c r="E164" s="99"/>
    </row>
    <row r="165" spans="2:5">
      <c r="B165" s="172"/>
      <c r="C165" s="172"/>
      <c r="D165" s="129" t="str">
        <f>IF(ISERROR(VLOOKUP(B165,Vandgennemstrømning!$T$41:$AH$262,15,FALSE)),"",VLOOKUP(B165,Vandgennemstrømning!$T$41:$AH$262,15,FALSE))</f>
        <v/>
      </c>
      <c r="E165" s="99"/>
    </row>
    <row r="166" spans="2:5">
      <c r="B166" s="172"/>
      <c r="C166" s="172"/>
      <c r="D166" s="129" t="str">
        <f>IF(ISERROR(VLOOKUP(B166,Vandgennemstrømning!$T$41:$AH$262,15,FALSE)),"",VLOOKUP(B166,Vandgennemstrømning!$T$41:$AH$262,15,FALSE))</f>
        <v/>
      </c>
      <c r="E166" s="99"/>
    </row>
    <row r="167" spans="2:5">
      <c r="B167" s="172"/>
      <c r="C167" s="172"/>
      <c r="D167" s="129" t="str">
        <f>IF(ISERROR(VLOOKUP(B167,Vandgennemstrømning!$T$41:$AH$262,15,FALSE)),"",VLOOKUP(B167,Vandgennemstrømning!$T$41:$AH$262,15,FALSE))</f>
        <v/>
      </c>
      <c r="E167" s="99"/>
    </row>
    <row r="168" spans="2:5">
      <c r="B168" s="172"/>
      <c r="C168" s="172"/>
      <c r="D168" s="129" t="str">
        <f>IF(ISERROR(VLOOKUP(B168,Vandgennemstrømning!$T$41:$AH$262,15,FALSE)),"",VLOOKUP(B168,Vandgennemstrømning!$T$41:$AH$262,15,FALSE))</f>
        <v/>
      </c>
      <c r="E168" s="99"/>
    </row>
    <row r="169" spans="2:5">
      <c r="B169" s="172"/>
      <c r="C169" s="172"/>
      <c r="D169" s="129" t="str">
        <f>IF(ISERROR(VLOOKUP(B169,Vandgennemstrømning!$T$41:$AH$262,15,FALSE)),"",VLOOKUP(B169,Vandgennemstrømning!$T$41:$AH$262,15,FALSE))</f>
        <v/>
      </c>
      <c r="E169" s="99"/>
    </row>
    <row r="170" spans="2:5">
      <c r="B170" s="172"/>
      <c r="C170" s="172"/>
      <c r="D170" s="129" t="str">
        <f>IF(ISERROR(VLOOKUP(B170,Vandgennemstrømning!$T$41:$AH$262,15,FALSE)),"",VLOOKUP(B170,Vandgennemstrømning!$T$41:$AH$262,15,FALSE))</f>
        <v/>
      </c>
      <c r="E170" s="99"/>
    </row>
    <row r="171" spans="2:5">
      <c r="B171" s="172"/>
      <c r="C171" s="172"/>
      <c r="D171" s="129" t="str">
        <f>IF(ISERROR(VLOOKUP(B171,Vandgennemstrømning!$T$41:$AH$262,15,FALSE)),"",VLOOKUP(B171,Vandgennemstrømning!$T$41:$AH$262,15,FALSE))</f>
        <v/>
      </c>
      <c r="E171" s="99"/>
    </row>
    <row r="172" spans="2:5">
      <c r="B172" s="172"/>
      <c r="C172" s="172"/>
      <c r="D172" s="129" t="str">
        <f>IF(ISERROR(VLOOKUP(B172,Vandgennemstrømning!$T$41:$AH$262,15,FALSE)),"",VLOOKUP(B172,Vandgennemstrømning!$T$41:$AH$262,15,FALSE))</f>
        <v/>
      </c>
      <c r="E172" s="99"/>
    </row>
    <row r="173" spans="2:5">
      <c r="B173" s="172"/>
      <c r="C173" s="172"/>
      <c r="D173" s="129" t="str">
        <f>IF(ISERROR(VLOOKUP(B173,Vandgennemstrømning!$T$41:$AH$262,15,FALSE)),"",VLOOKUP(B173,Vandgennemstrømning!$T$41:$AH$262,15,FALSE))</f>
        <v/>
      </c>
      <c r="E173" s="99"/>
    </row>
    <row r="174" spans="2:5">
      <c r="B174" s="172"/>
      <c r="C174" s="172"/>
      <c r="D174" s="129" t="str">
        <f>IF(ISERROR(VLOOKUP(B174,Vandgennemstrømning!$T$41:$AH$262,15,FALSE)),"",VLOOKUP(B174,Vandgennemstrømning!$T$41:$AH$262,15,FALSE))</f>
        <v/>
      </c>
      <c r="E174" s="99"/>
    </row>
    <row r="175" spans="2:5">
      <c r="B175" s="172"/>
      <c r="C175" s="172"/>
      <c r="D175" s="129" t="str">
        <f>IF(ISERROR(VLOOKUP(B175,Vandgennemstrømning!$T$41:$AH$262,15,FALSE)),"",VLOOKUP(B175,Vandgennemstrømning!$T$41:$AH$262,15,FALSE))</f>
        <v/>
      </c>
      <c r="E175" s="99"/>
    </row>
    <row r="176" spans="2:5">
      <c r="B176" s="172"/>
      <c r="C176" s="172"/>
      <c r="D176" s="129" t="str">
        <f>IF(ISERROR(VLOOKUP(B176,Vandgennemstrømning!$T$41:$AH$262,15,FALSE)),"",VLOOKUP(B176,Vandgennemstrømning!$T$41:$AH$262,15,FALSE))</f>
        <v/>
      </c>
      <c r="E176" s="99"/>
    </row>
    <row r="177" spans="2:5">
      <c r="B177" s="172"/>
      <c r="C177" s="172"/>
      <c r="D177" s="129" t="str">
        <f>IF(ISERROR(VLOOKUP(B177,Vandgennemstrømning!$T$41:$AH$262,15,FALSE)),"",VLOOKUP(B177,Vandgennemstrømning!$T$41:$AH$262,15,FALSE))</f>
        <v/>
      </c>
      <c r="E177" s="99"/>
    </row>
    <row r="178" spans="2:5">
      <c r="B178" s="172"/>
      <c r="C178" s="172"/>
      <c r="D178" s="129" t="str">
        <f>IF(ISERROR(VLOOKUP(B178,Vandgennemstrømning!$T$41:$AH$262,15,FALSE)),"",VLOOKUP(B178,Vandgennemstrømning!$T$41:$AH$262,15,FALSE))</f>
        <v/>
      </c>
      <c r="E178" s="99"/>
    </row>
    <row r="179" spans="2:5">
      <c r="B179" s="172"/>
      <c r="C179" s="172"/>
      <c r="D179" s="129" t="str">
        <f>IF(ISERROR(VLOOKUP(B179,Vandgennemstrømning!$T$41:$AH$262,15,FALSE)),"",VLOOKUP(B179,Vandgennemstrømning!$T$41:$AH$262,15,FALSE))</f>
        <v/>
      </c>
      <c r="E179" s="99"/>
    </row>
    <row r="180" spans="2:5">
      <c r="B180" s="172"/>
      <c r="C180" s="172"/>
      <c r="D180" s="129" t="str">
        <f>IF(ISERROR(VLOOKUP(B180,Vandgennemstrømning!$T$41:$AH$262,15,FALSE)),"",VLOOKUP(B180,Vandgennemstrømning!$T$41:$AH$262,15,FALSE))</f>
        <v/>
      </c>
      <c r="E180" s="99"/>
    </row>
    <row r="181" spans="2:5">
      <c r="B181" s="172"/>
      <c r="C181" s="172"/>
      <c r="D181" s="129" t="str">
        <f>IF(ISERROR(VLOOKUP(B181,Vandgennemstrømning!$T$41:$AH$262,15,FALSE)),"",VLOOKUP(B181,Vandgennemstrømning!$T$41:$AH$262,15,FALSE))</f>
        <v/>
      </c>
      <c r="E181" s="99"/>
    </row>
    <row r="182" spans="2:5">
      <c r="B182" s="172"/>
      <c r="C182" s="172"/>
      <c r="D182" s="129" t="str">
        <f>IF(ISERROR(VLOOKUP(B182,Vandgennemstrømning!$T$41:$AH$262,15,FALSE)),"",VLOOKUP(B182,Vandgennemstrømning!$T$41:$AH$262,15,FALSE))</f>
        <v/>
      </c>
      <c r="E182" s="99"/>
    </row>
    <row r="183" spans="2:5">
      <c r="B183" s="172"/>
      <c r="C183" s="172"/>
      <c r="D183" s="129" t="str">
        <f>IF(ISERROR(VLOOKUP(B183,Vandgennemstrømning!$T$41:$AH$262,15,FALSE)),"",VLOOKUP(B183,Vandgennemstrømning!$T$41:$AH$262,15,FALSE))</f>
        <v/>
      </c>
      <c r="E183" s="99"/>
    </row>
    <row r="184" spans="2:5">
      <c r="B184" s="172"/>
      <c r="C184" s="172"/>
      <c r="D184" s="129" t="str">
        <f>IF(ISERROR(VLOOKUP(B184,Vandgennemstrømning!$T$41:$AH$262,15,FALSE)),"",VLOOKUP(B184,Vandgennemstrømning!$T$41:$AH$262,15,FALSE))</f>
        <v/>
      </c>
      <c r="E184" s="99"/>
    </row>
    <row r="185" spans="2:5">
      <c r="B185" s="172"/>
      <c r="C185" s="172"/>
      <c r="D185" s="129" t="str">
        <f>IF(ISERROR(VLOOKUP(B185,Vandgennemstrømning!$T$41:$AH$262,15,FALSE)),"",VLOOKUP(B185,Vandgennemstrømning!$T$41:$AH$262,15,FALSE))</f>
        <v/>
      </c>
      <c r="E185" s="99"/>
    </row>
    <row r="186" spans="2:5">
      <c r="B186" s="172"/>
      <c r="C186" s="172"/>
      <c r="D186" s="129" t="str">
        <f>IF(ISERROR(VLOOKUP(B186,Vandgennemstrømning!$T$41:$AH$262,15,FALSE)),"",VLOOKUP(B186,Vandgennemstrømning!$T$41:$AH$262,15,FALSE))</f>
        <v/>
      </c>
      <c r="E186" s="99"/>
    </row>
    <row r="187" spans="2:5">
      <c r="B187" s="172"/>
      <c r="C187" s="172"/>
      <c r="D187" s="129" t="str">
        <f>IF(ISERROR(VLOOKUP(B187,Vandgennemstrømning!$T$41:$AH$262,15,FALSE)),"",VLOOKUP(B187,Vandgennemstrømning!$T$41:$AH$262,15,FALSE))</f>
        <v/>
      </c>
      <c r="E187" s="99"/>
    </row>
    <row r="188" spans="2:5">
      <c r="B188" s="172"/>
      <c r="C188" s="172"/>
      <c r="D188" s="129" t="str">
        <f>IF(ISERROR(VLOOKUP(B188,Vandgennemstrømning!$T$41:$AH$262,15,FALSE)),"",VLOOKUP(B188,Vandgennemstrømning!$T$41:$AH$262,15,FALSE))</f>
        <v/>
      </c>
      <c r="E188" s="99"/>
    </row>
    <row r="189" spans="2:5">
      <c r="B189" s="172"/>
      <c r="C189" s="172"/>
      <c r="D189" s="129" t="str">
        <f>IF(ISERROR(VLOOKUP(B189,Vandgennemstrømning!$T$41:$AH$262,15,FALSE)),"",VLOOKUP(B189,Vandgennemstrømning!$T$41:$AH$262,15,FALSE))</f>
        <v/>
      </c>
      <c r="E189" s="99"/>
    </row>
    <row r="190" spans="2:5">
      <c r="B190" s="172"/>
      <c r="C190" s="172"/>
      <c r="D190" s="129" t="str">
        <f>IF(ISERROR(VLOOKUP(B190,Vandgennemstrømning!$T$41:$AH$262,15,FALSE)),"",VLOOKUP(B190,Vandgennemstrømning!$T$41:$AH$262,15,FALSE))</f>
        <v/>
      </c>
      <c r="E190" s="99"/>
    </row>
    <row r="191" spans="2:5">
      <c r="B191" s="172"/>
      <c r="C191" s="172"/>
      <c r="D191" s="129" t="str">
        <f>IF(ISERROR(VLOOKUP(B191,Vandgennemstrømning!$T$41:$AH$262,15,FALSE)),"",VLOOKUP(B191,Vandgennemstrømning!$T$41:$AH$262,15,FALSE))</f>
        <v/>
      </c>
      <c r="E191" s="99"/>
    </row>
    <row r="192" spans="2:5">
      <c r="B192" s="172"/>
      <c r="C192" s="172"/>
      <c r="D192" s="129" t="str">
        <f>IF(ISERROR(VLOOKUP(B192,Vandgennemstrømning!$T$41:$AH$262,15,FALSE)),"",VLOOKUP(B192,Vandgennemstrømning!$T$41:$AH$262,15,FALSE))</f>
        <v/>
      </c>
      <c r="E192" s="99"/>
    </row>
    <row r="193" spans="2:5">
      <c r="B193" s="172"/>
      <c r="C193" s="172"/>
      <c r="D193" s="129" t="str">
        <f>IF(ISERROR(VLOOKUP(B193,Vandgennemstrømning!$T$41:$AH$262,15,FALSE)),"",VLOOKUP(B193,Vandgennemstrømning!$T$41:$AH$262,15,FALSE))</f>
        <v/>
      </c>
      <c r="E193" s="99"/>
    </row>
    <row r="194" spans="2:5">
      <c r="B194" s="172"/>
      <c r="C194" s="172"/>
      <c r="D194" s="129" t="str">
        <f>IF(ISERROR(VLOOKUP(B194,Vandgennemstrømning!$T$41:$AH$262,15,FALSE)),"",VLOOKUP(B194,Vandgennemstrømning!$T$41:$AH$262,15,FALSE))</f>
        <v/>
      </c>
      <c r="E194" s="99"/>
    </row>
    <row r="195" spans="2:5">
      <c r="B195" s="172"/>
      <c r="C195" s="172"/>
      <c r="D195" s="129" t="str">
        <f>IF(ISERROR(VLOOKUP(B195,Vandgennemstrømning!$T$41:$AH$262,15,FALSE)),"",VLOOKUP(B195,Vandgennemstrømning!$T$41:$AH$262,15,FALSE))</f>
        <v/>
      </c>
      <c r="E195" s="99"/>
    </row>
    <row r="196" spans="2:5">
      <c r="B196" s="172"/>
      <c r="C196" s="172"/>
      <c r="D196" s="129" t="str">
        <f>IF(ISERROR(VLOOKUP(B196,Vandgennemstrømning!$T$41:$AH$262,15,FALSE)),"",VLOOKUP(B196,Vandgennemstrømning!$T$41:$AH$262,15,FALSE))</f>
        <v/>
      </c>
      <c r="E196" s="99"/>
    </row>
    <row r="197" spans="2:5">
      <c r="B197" s="172"/>
      <c r="C197" s="172"/>
      <c r="D197" s="129" t="str">
        <f>IF(ISERROR(VLOOKUP(B197,Vandgennemstrømning!$T$41:$AH$262,15,FALSE)),"",VLOOKUP(B197,Vandgennemstrømning!$T$41:$AH$262,15,FALSE))</f>
        <v/>
      </c>
      <c r="E197" s="99"/>
    </row>
    <row r="198" spans="2:5">
      <c r="B198" s="172"/>
      <c r="C198" s="172"/>
      <c r="D198" s="129" t="str">
        <f>IF(ISERROR(VLOOKUP(B198,Vandgennemstrømning!$T$41:$AH$262,15,FALSE)),"",VLOOKUP(B198,Vandgennemstrømning!$T$41:$AH$262,15,FALSE))</f>
        <v/>
      </c>
      <c r="E198" s="99"/>
    </row>
    <row r="199" spans="2:5">
      <c r="B199" s="172"/>
      <c r="C199" s="172"/>
      <c r="D199" s="129" t="str">
        <f>IF(ISERROR(VLOOKUP(B199,Vandgennemstrømning!$T$41:$AH$262,15,FALSE)),"",VLOOKUP(B199,Vandgennemstrømning!$T$41:$AH$262,15,FALSE))</f>
        <v/>
      </c>
      <c r="E199" s="99"/>
    </row>
    <row r="200" spans="2:5">
      <c r="B200" s="172"/>
      <c r="C200" s="172"/>
      <c r="D200" s="129" t="str">
        <f>IF(ISERROR(VLOOKUP(B200,Vandgennemstrømning!$T$41:$AH$262,15,FALSE)),"",VLOOKUP(B200,Vandgennemstrømning!$T$41:$AH$262,15,FALSE))</f>
        <v/>
      </c>
      <c r="E200" s="99"/>
    </row>
    <row r="201" spans="2:5">
      <c r="B201" s="172"/>
      <c r="C201" s="172"/>
      <c r="D201" s="129" t="str">
        <f>IF(ISERROR(VLOOKUP(B201,Vandgennemstrømning!$T$41:$AH$262,15,FALSE)),"",VLOOKUP(B201,Vandgennemstrømning!$T$41:$AH$262,15,FALSE))</f>
        <v/>
      </c>
      <c r="E201" s="99"/>
    </row>
    <row r="202" spans="2:5">
      <c r="B202" s="172"/>
      <c r="C202" s="172"/>
      <c r="D202" s="129" t="str">
        <f>IF(ISERROR(VLOOKUP(B202,Vandgennemstrømning!$T$41:$AH$262,15,FALSE)),"",VLOOKUP(B202,Vandgennemstrømning!$T$41:$AH$262,15,FALSE))</f>
        <v/>
      </c>
      <c r="E202" s="99"/>
    </row>
    <row r="203" spans="2:5">
      <c r="B203" s="172"/>
      <c r="C203" s="172"/>
      <c r="D203" s="129" t="str">
        <f>IF(ISERROR(VLOOKUP(B203,Vandgennemstrømning!$T$41:$AH$262,15,FALSE)),"",VLOOKUP(B203,Vandgennemstrømning!$T$41:$AH$262,15,FALSE))</f>
        <v/>
      </c>
      <c r="E203" s="99"/>
    </row>
    <row r="204" spans="2:5">
      <c r="B204" s="172"/>
      <c r="C204" s="172"/>
      <c r="D204" s="129" t="str">
        <f>IF(ISERROR(VLOOKUP(B204,Vandgennemstrømning!$T$41:$AH$262,15,FALSE)),"",VLOOKUP(B204,Vandgennemstrømning!$T$41:$AH$262,15,FALSE))</f>
        <v/>
      </c>
      <c r="E204" s="99"/>
    </row>
    <row r="205" spans="2:5">
      <c r="B205" s="172"/>
      <c r="C205" s="172"/>
      <c r="D205" s="129" t="str">
        <f>IF(ISERROR(VLOOKUP(B205,Vandgennemstrømning!$T$41:$AH$262,15,FALSE)),"",VLOOKUP(B205,Vandgennemstrømning!$T$41:$AH$262,15,FALSE))</f>
        <v/>
      </c>
      <c r="E205" s="99"/>
    </row>
    <row r="206" spans="2:5">
      <c r="B206" s="172"/>
      <c r="C206" s="172"/>
      <c r="D206" s="129" t="str">
        <f>IF(ISERROR(VLOOKUP(B206,Vandgennemstrømning!$T$41:$AH$262,15,FALSE)),"",VLOOKUP(B206,Vandgennemstrømning!$T$41:$AH$262,15,FALSE))</f>
        <v/>
      </c>
      <c r="E206" s="99"/>
    </row>
    <row r="207" spans="2:5">
      <c r="B207" s="172"/>
      <c r="C207" s="172"/>
      <c r="D207" s="129" t="str">
        <f>IF(ISERROR(VLOOKUP(B207,Vandgennemstrømning!$T$41:$AH$262,15,FALSE)),"",VLOOKUP(B207,Vandgennemstrømning!$T$41:$AH$262,15,FALSE))</f>
        <v/>
      </c>
      <c r="E207" s="99"/>
    </row>
    <row r="208" spans="2:5">
      <c r="B208" s="172"/>
      <c r="C208" s="172"/>
      <c r="D208" s="129" t="str">
        <f>IF(ISERROR(VLOOKUP(B208,Vandgennemstrømning!$T$41:$AH$262,15,FALSE)),"",VLOOKUP(B208,Vandgennemstrømning!$T$41:$AH$262,15,FALSE))</f>
        <v/>
      </c>
      <c r="E208" s="99"/>
    </row>
    <row r="209" spans="2:4">
      <c r="B209" s="3"/>
      <c r="C209" s="3"/>
      <c r="D209" s="3"/>
    </row>
    <row r="210" spans="2:4">
      <c r="B210" s="3"/>
      <c r="C210" s="3"/>
      <c r="D210" s="3"/>
    </row>
    <row r="211" spans="2:4">
      <c r="B211" s="3"/>
      <c r="C211" s="3"/>
      <c r="D211" s="3"/>
    </row>
    <row r="212" spans="2:4">
      <c r="B212" s="3"/>
      <c r="C212" s="3"/>
      <c r="D212" s="3"/>
    </row>
    <row r="213" spans="2:4">
      <c r="B213" s="3"/>
      <c r="C213" s="3"/>
      <c r="D213" s="3"/>
    </row>
    <row r="214" spans="2:4">
      <c r="B214" s="3"/>
      <c r="C214" s="3"/>
      <c r="D214" s="3"/>
    </row>
    <row r="215" spans="2:4">
      <c r="B215" s="3"/>
      <c r="C215" s="3"/>
      <c r="D215" s="3"/>
    </row>
    <row r="216" spans="2:4">
      <c r="B216" s="3"/>
      <c r="C216" s="3"/>
      <c r="D216" s="3"/>
    </row>
    <row r="217" spans="2:4">
      <c r="B217" s="3"/>
      <c r="C217" s="3"/>
      <c r="D217" s="3"/>
    </row>
    <row r="218" spans="2:4">
      <c r="B218" s="3"/>
      <c r="C218" s="3"/>
      <c r="D218" s="3"/>
    </row>
    <row r="219" spans="2:4">
      <c r="B219" s="3"/>
      <c r="C219" s="3"/>
      <c r="D219" s="3"/>
    </row>
    <row r="220" spans="2:4">
      <c r="B220" s="3"/>
      <c r="C220" s="3"/>
      <c r="D220" s="3"/>
    </row>
    <row r="221" spans="2:4">
      <c r="B221" s="3"/>
      <c r="C221" s="3"/>
      <c r="D221" s="3"/>
    </row>
    <row r="222" spans="2:4">
      <c r="B222" s="3"/>
      <c r="C222" s="3"/>
      <c r="D222" s="3"/>
    </row>
    <row r="223" spans="2:4">
      <c r="B223" s="3"/>
      <c r="C223" s="3"/>
      <c r="D223" s="3"/>
    </row>
    <row r="224" spans="2:4">
      <c r="B224" s="3"/>
      <c r="C224" s="3"/>
      <c r="D224" s="3"/>
    </row>
    <row r="225" spans="2:4">
      <c r="B225" s="3"/>
      <c r="C225" s="3"/>
      <c r="D225" s="3"/>
    </row>
    <row r="226" spans="2:4">
      <c r="B226" s="3"/>
      <c r="C226" s="3"/>
      <c r="D226" s="3"/>
    </row>
    <row r="227" spans="2:4">
      <c r="B227" s="3"/>
      <c r="C227" s="3"/>
      <c r="D227" s="3"/>
    </row>
    <row r="228" spans="2:4">
      <c r="B228" s="3"/>
      <c r="C228" s="3"/>
      <c r="D228" s="3"/>
    </row>
    <row r="229" spans="2:4">
      <c r="B229" s="3"/>
      <c r="C229" s="3"/>
      <c r="D229" s="3"/>
    </row>
    <row r="230" spans="2:4">
      <c r="B230" s="3"/>
      <c r="C230" s="3"/>
      <c r="D230" s="3"/>
    </row>
    <row r="231" spans="2:4">
      <c r="B231" s="3"/>
      <c r="C231" s="3"/>
      <c r="D231" s="3"/>
    </row>
    <row r="232" spans="2:4">
      <c r="B232" s="3"/>
      <c r="C232" s="3"/>
      <c r="D232" s="3"/>
    </row>
    <row r="233" spans="2:4">
      <c r="B233" s="3"/>
      <c r="C233" s="3"/>
      <c r="D233" s="3"/>
    </row>
    <row r="234" spans="2:4">
      <c r="B234" s="3"/>
      <c r="C234" s="3"/>
      <c r="D234" s="3"/>
    </row>
  </sheetData>
  <mergeCells count="4">
    <mergeCell ref="B5:C5"/>
    <mergeCell ref="B3:C3"/>
    <mergeCell ref="B4:C4"/>
    <mergeCell ref="B6:C6"/>
  </mergeCells>
  <conditionalFormatting sqref="D5">
    <cfRule type="cellIs" dxfId="0" priority="1" operator="notEqual">
      <formula>$D$4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B1:E206"/>
  <sheetViews>
    <sheetView workbookViewId="0">
      <selection activeCell="B6" sqref="B6"/>
    </sheetView>
  </sheetViews>
  <sheetFormatPr defaultColWidth="9.140625" defaultRowHeight="15"/>
  <cols>
    <col min="1" max="1" width="9.140625" style="3"/>
    <col min="2" max="2" width="20.85546875" style="3" customWidth="1"/>
    <col min="3" max="3" width="9.7109375" style="3" bestFit="1" customWidth="1"/>
    <col min="4" max="4" width="23.7109375" style="3" bestFit="1" customWidth="1"/>
    <col min="5" max="5" width="8.85546875" style="3" customWidth="1"/>
    <col min="6" max="16384" width="9.140625" style="3"/>
  </cols>
  <sheetData>
    <row r="1" spans="2:5" ht="23.25">
      <c r="B1" s="100" t="s">
        <v>185</v>
      </c>
      <c r="C1" s="100"/>
      <c r="D1" s="99"/>
      <c r="E1" s="99"/>
    </row>
    <row r="2" spans="2:5">
      <c r="B2" s="99"/>
      <c r="C2" s="99"/>
      <c r="D2" s="99"/>
      <c r="E2" s="99"/>
    </row>
    <row r="3" spans="2:5">
      <c r="B3" s="204" t="s">
        <v>186</v>
      </c>
      <c r="C3" s="204"/>
      <c r="D3" s="87"/>
      <c r="E3" s="101"/>
    </row>
    <row r="4" spans="2:5" ht="15.75" customHeight="1">
      <c r="B4" s="99"/>
      <c r="C4" s="99"/>
      <c r="D4" s="99"/>
      <c r="E4" s="99"/>
    </row>
    <row r="5" spans="2:5">
      <c r="B5" s="99" t="s">
        <v>176</v>
      </c>
      <c r="C5" s="99" t="s">
        <v>187</v>
      </c>
      <c r="D5" s="102" t="s">
        <v>191</v>
      </c>
      <c r="E5" s="102"/>
    </row>
    <row r="6" spans="2:5">
      <c r="B6"/>
      <c r="C6"/>
      <c r="D6" s="103" t="str">
        <f>IF(OR(C6="",$D$3=""),"",$D$3*3*C6)</f>
        <v/>
      </c>
      <c r="E6" s="99"/>
    </row>
    <row r="7" spans="2:5">
      <c r="B7"/>
      <c r="C7"/>
      <c r="D7" s="103" t="str">
        <f t="shared" ref="D7:D70" si="0">IF(OR(C7="",$D$3=""),"",$D$3*3*C7)</f>
        <v/>
      </c>
      <c r="E7" s="99"/>
    </row>
    <row r="8" spans="2:5">
      <c r="B8"/>
      <c r="C8"/>
      <c r="D8" s="103" t="str">
        <f t="shared" si="0"/>
        <v/>
      </c>
      <c r="E8" s="99"/>
    </row>
    <row r="9" spans="2:5">
      <c r="B9"/>
      <c r="C9"/>
      <c r="D9" s="103" t="str">
        <f t="shared" si="0"/>
        <v/>
      </c>
      <c r="E9" s="99"/>
    </row>
    <row r="10" spans="2:5">
      <c r="B10"/>
      <c r="C10"/>
      <c r="D10" s="103" t="str">
        <f t="shared" si="0"/>
        <v/>
      </c>
      <c r="E10" s="99"/>
    </row>
    <row r="11" spans="2:5">
      <c r="B11"/>
      <c r="C11"/>
      <c r="D11" s="103" t="str">
        <f t="shared" si="0"/>
        <v/>
      </c>
      <c r="E11" s="99"/>
    </row>
    <row r="12" spans="2:5">
      <c r="B12"/>
      <c r="C12"/>
      <c r="D12" s="103" t="str">
        <f t="shared" si="0"/>
        <v/>
      </c>
      <c r="E12" s="99"/>
    </row>
    <row r="13" spans="2:5">
      <c r="B13"/>
      <c r="C13"/>
      <c r="D13" s="103" t="str">
        <f t="shared" si="0"/>
        <v/>
      </c>
      <c r="E13" s="99"/>
    </row>
    <row r="14" spans="2:5">
      <c r="B14"/>
      <c r="C14"/>
      <c r="D14" s="103" t="str">
        <f t="shared" si="0"/>
        <v/>
      </c>
      <c r="E14" s="99"/>
    </row>
    <row r="15" spans="2:5">
      <c r="B15"/>
      <c r="C15"/>
      <c r="D15" s="103" t="str">
        <f t="shared" si="0"/>
        <v/>
      </c>
      <c r="E15" s="99"/>
    </row>
    <row r="16" spans="2:5">
      <c r="B16"/>
      <c r="C16"/>
      <c r="D16" s="103" t="str">
        <f t="shared" si="0"/>
        <v/>
      </c>
      <c r="E16" s="99"/>
    </row>
    <row r="17" spans="2:5">
      <c r="B17"/>
      <c r="C17"/>
      <c r="D17" s="103" t="str">
        <f t="shared" si="0"/>
        <v/>
      </c>
      <c r="E17" s="99"/>
    </row>
    <row r="18" spans="2:5">
      <c r="B18"/>
      <c r="C18"/>
      <c r="D18" s="103" t="str">
        <f t="shared" si="0"/>
        <v/>
      </c>
      <c r="E18" s="99"/>
    </row>
    <row r="19" spans="2:5">
      <c r="B19"/>
      <c r="C19"/>
      <c r="D19" s="103" t="str">
        <f t="shared" si="0"/>
        <v/>
      </c>
      <c r="E19" s="99"/>
    </row>
    <row r="20" spans="2:5">
      <c r="B20"/>
      <c r="C20"/>
      <c r="D20" s="103" t="str">
        <f t="shared" si="0"/>
        <v/>
      </c>
      <c r="E20" s="99"/>
    </row>
    <row r="21" spans="2:5">
      <c r="B21"/>
      <c r="C21"/>
      <c r="D21" s="103" t="str">
        <f t="shared" si="0"/>
        <v/>
      </c>
      <c r="E21" s="99"/>
    </row>
    <row r="22" spans="2:5">
      <c r="B22"/>
      <c r="C22"/>
      <c r="D22" s="103" t="str">
        <f t="shared" si="0"/>
        <v/>
      </c>
      <c r="E22" s="99"/>
    </row>
    <row r="23" spans="2:5">
      <c r="B23"/>
      <c r="C23"/>
      <c r="D23" s="103" t="str">
        <f t="shared" si="0"/>
        <v/>
      </c>
      <c r="E23" s="99"/>
    </row>
    <row r="24" spans="2:5">
      <c r="B24"/>
      <c r="C24"/>
      <c r="D24" s="103" t="str">
        <f t="shared" si="0"/>
        <v/>
      </c>
      <c r="E24" s="99"/>
    </row>
    <row r="25" spans="2:5">
      <c r="B25"/>
      <c r="C25"/>
      <c r="D25" s="103" t="str">
        <f t="shared" si="0"/>
        <v/>
      </c>
      <c r="E25" s="99"/>
    </row>
    <row r="26" spans="2:5">
      <c r="B26"/>
      <c r="C26"/>
      <c r="D26" s="103" t="str">
        <f t="shared" si="0"/>
        <v/>
      </c>
      <c r="E26" s="99"/>
    </row>
    <row r="27" spans="2:5">
      <c r="B27"/>
      <c r="C27"/>
      <c r="D27" s="103" t="str">
        <f t="shared" si="0"/>
        <v/>
      </c>
      <c r="E27" s="99"/>
    </row>
    <row r="28" spans="2:5">
      <c r="B28"/>
      <c r="C28"/>
      <c r="D28" s="103" t="str">
        <f t="shared" si="0"/>
        <v/>
      </c>
      <c r="E28" s="99"/>
    </row>
    <row r="29" spans="2:5">
      <c r="B29"/>
      <c r="C29"/>
      <c r="D29" s="103" t="str">
        <f t="shared" si="0"/>
        <v/>
      </c>
      <c r="E29" s="99"/>
    </row>
    <row r="30" spans="2:5">
      <c r="B30"/>
      <c r="C30"/>
      <c r="D30" s="103" t="str">
        <f t="shared" si="0"/>
        <v/>
      </c>
      <c r="E30" s="99"/>
    </row>
    <row r="31" spans="2:5">
      <c r="B31"/>
      <c r="C31"/>
      <c r="D31" s="103" t="str">
        <f t="shared" si="0"/>
        <v/>
      </c>
      <c r="E31" s="99"/>
    </row>
    <row r="32" spans="2:5">
      <c r="B32"/>
      <c r="C32"/>
      <c r="D32" s="103" t="str">
        <f t="shared" si="0"/>
        <v/>
      </c>
      <c r="E32" s="99"/>
    </row>
    <row r="33" spans="2:5">
      <c r="B33"/>
      <c r="C33"/>
      <c r="D33" s="103" t="str">
        <f t="shared" si="0"/>
        <v/>
      </c>
      <c r="E33" s="99"/>
    </row>
    <row r="34" spans="2:5">
      <c r="B34"/>
      <c r="C34"/>
      <c r="D34" s="103" t="str">
        <f t="shared" si="0"/>
        <v/>
      </c>
      <c r="E34" s="99"/>
    </row>
    <row r="35" spans="2:5">
      <c r="B35"/>
      <c r="C35"/>
      <c r="D35" s="103" t="str">
        <f t="shared" si="0"/>
        <v/>
      </c>
      <c r="E35" s="99"/>
    </row>
    <row r="36" spans="2:5">
      <c r="B36"/>
      <c r="C36"/>
      <c r="D36" s="103" t="str">
        <f t="shared" si="0"/>
        <v/>
      </c>
      <c r="E36" s="99"/>
    </row>
    <row r="37" spans="2:5">
      <c r="B37"/>
      <c r="C37"/>
      <c r="D37" s="103" t="str">
        <f t="shared" si="0"/>
        <v/>
      </c>
      <c r="E37" s="99"/>
    </row>
    <row r="38" spans="2:5">
      <c r="B38"/>
      <c r="C38"/>
      <c r="D38" s="103" t="str">
        <f t="shared" si="0"/>
        <v/>
      </c>
      <c r="E38" s="99"/>
    </row>
    <row r="39" spans="2:5">
      <c r="B39"/>
      <c r="C39"/>
      <c r="D39" s="103" t="str">
        <f t="shared" si="0"/>
        <v/>
      </c>
      <c r="E39" s="99"/>
    </row>
    <row r="40" spans="2:5">
      <c r="B40"/>
      <c r="C40"/>
      <c r="D40" s="103" t="str">
        <f t="shared" si="0"/>
        <v/>
      </c>
      <c r="E40" s="99"/>
    </row>
    <row r="41" spans="2:5">
      <c r="B41"/>
      <c r="C41"/>
      <c r="D41" s="103" t="str">
        <f t="shared" si="0"/>
        <v/>
      </c>
      <c r="E41" s="99"/>
    </row>
    <row r="42" spans="2:5">
      <c r="B42"/>
      <c r="C42"/>
      <c r="D42" s="103" t="str">
        <f t="shared" si="0"/>
        <v/>
      </c>
      <c r="E42" s="99"/>
    </row>
    <row r="43" spans="2:5">
      <c r="B43"/>
      <c r="C43"/>
      <c r="D43" s="103" t="str">
        <f t="shared" si="0"/>
        <v/>
      </c>
      <c r="E43" s="99"/>
    </row>
    <row r="44" spans="2:5">
      <c r="B44"/>
      <c r="C44"/>
      <c r="D44" s="103" t="str">
        <f t="shared" si="0"/>
        <v/>
      </c>
      <c r="E44" s="99"/>
    </row>
    <row r="45" spans="2:5">
      <c r="B45"/>
      <c r="C45"/>
      <c r="D45" s="103" t="str">
        <f t="shared" si="0"/>
        <v/>
      </c>
      <c r="E45" s="99"/>
    </row>
    <row r="46" spans="2:5">
      <c r="B46"/>
      <c r="C46"/>
      <c r="D46" s="103" t="str">
        <f t="shared" si="0"/>
        <v/>
      </c>
      <c r="E46" s="99"/>
    </row>
    <row r="47" spans="2:5">
      <c r="B47"/>
      <c r="C47"/>
      <c r="D47" s="103" t="str">
        <f t="shared" si="0"/>
        <v/>
      </c>
      <c r="E47" s="99"/>
    </row>
    <row r="48" spans="2:5">
      <c r="B48"/>
      <c r="C48"/>
      <c r="D48" s="103" t="str">
        <f t="shared" si="0"/>
        <v/>
      </c>
      <c r="E48" s="99"/>
    </row>
    <row r="49" spans="2:5">
      <c r="B49"/>
      <c r="C49"/>
      <c r="D49" s="103" t="str">
        <f t="shared" si="0"/>
        <v/>
      </c>
      <c r="E49" s="99"/>
    </row>
    <row r="50" spans="2:5">
      <c r="B50"/>
      <c r="C50"/>
      <c r="D50" s="103" t="str">
        <f t="shared" si="0"/>
        <v/>
      </c>
      <c r="E50" s="99"/>
    </row>
    <row r="51" spans="2:5">
      <c r="B51"/>
      <c r="C51"/>
      <c r="D51" s="103" t="str">
        <f t="shared" si="0"/>
        <v/>
      </c>
      <c r="E51" s="99"/>
    </row>
    <row r="52" spans="2:5">
      <c r="B52"/>
      <c r="C52"/>
      <c r="D52" s="103" t="str">
        <f t="shared" si="0"/>
        <v/>
      </c>
      <c r="E52" s="99"/>
    </row>
    <row r="53" spans="2:5">
      <c r="B53"/>
      <c r="C53"/>
      <c r="D53" s="103" t="str">
        <f t="shared" si="0"/>
        <v/>
      </c>
      <c r="E53" s="99"/>
    </row>
    <row r="54" spans="2:5">
      <c r="B54"/>
      <c r="C54"/>
      <c r="D54" s="103" t="str">
        <f t="shared" si="0"/>
        <v/>
      </c>
      <c r="E54" s="99"/>
    </row>
    <row r="55" spans="2:5">
      <c r="B55"/>
      <c r="C55"/>
      <c r="D55" s="103" t="str">
        <f t="shared" si="0"/>
        <v/>
      </c>
      <c r="E55" s="99"/>
    </row>
    <row r="56" spans="2:5">
      <c r="B56"/>
      <c r="C56"/>
      <c r="D56" s="103" t="str">
        <f t="shared" si="0"/>
        <v/>
      </c>
      <c r="E56" s="99"/>
    </row>
    <row r="57" spans="2:5">
      <c r="B57"/>
      <c r="C57"/>
      <c r="D57" s="103" t="str">
        <f t="shared" si="0"/>
        <v/>
      </c>
      <c r="E57" s="99"/>
    </row>
    <row r="58" spans="2:5">
      <c r="B58"/>
      <c r="C58"/>
      <c r="D58" s="103" t="str">
        <f t="shared" si="0"/>
        <v/>
      </c>
      <c r="E58" s="99"/>
    </row>
    <row r="59" spans="2:5">
      <c r="B59"/>
      <c r="C59"/>
      <c r="D59" s="103" t="str">
        <f t="shared" si="0"/>
        <v/>
      </c>
      <c r="E59" s="99"/>
    </row>
    <row r="60" spans="2:5">
      <c r="B60"/>
      <c r="C60"/>
      <c r="D60" s="103" t="str">
        <f t="shared" si="0"/>
        <v/>
      </c>
      <c r="E60" s="99"/>
    </row>
    <row r="61" spans="2:5">
      <c r="B61"/>
      <c r="C61"/>
      <c r="D61" s="103" t="str">
        <f t="shared" si="0"/>
        <v/>
      </c>
      <c r="E61" s="99"/>
    </row>
    <row r="62" spans="2:5">
      <c r="B62"/>
      <c r="C62"/>
      <c r="D62" s="103" t="str">
        <f t="shared" si="0"/>
        <v/>
      </c>
      <c r="E62" s="99"/>
    </row>
    <row r="63" spans="2:5">
      <c r="B63"/>
      <c r="C63"/>
      <c r="D63" s="103" t="str">
        <f t="shared" si="0"/>
        <v/>
      </c>
      <c r="E63" s="99"/>
    </row>
    <row r="64" spans="2:5">
      <c r="B64"/>
      <c r="C64"/>
      <c r="D64" s="103" t="str">
        <f t="shared" si="0"/>
        <v/>
      </c>
      <c r="E64" s="99"/>
    </row>
    <row r="65" spans="2:5">
      <c r="B65"/>
      <c r="C65"/>
      <c r="D65" s="103" t="str">
        <f t="shared" si="0"/>
        <v/>
      </c>
      <c r="E65" s="99"/>
    </row>
    <row r="66" spans="2:5">
      <c r="B66"/>
      <c r="C66"/>
      <c r="D66" s="103" t="str">
        <f t="shared" si="0"/>
        <v/>
      </c>
      <c r="E66" s="99"/>
    </row>
    <row r="67" spans="2:5">
      <c r="B67"/>
      <c r="C67"/>
      <c r="D67" s="103" t="str">
        <f t="shared" si="0"/>
        <v/>
      </c>
      <c r="E67" s="99"/>
    </row>
    <row r="68" spans="2:5">
      <c r="B68"/>
      <c r="C68"/>
      <c r="D68" s="103" t="str">
        <f t="shared" si="0"/>
        <v/>
      </c>
      <c r="E68" s="99"/>
    </row>
    <row r="69" spans="2:5">
      <c r="B69"/>
      <c r="C69"/>
      <c r="D69" s="103" t="str">
        <f t="shared" si="0"/>
        <v/>
      </c>
      <c r="E69" s="99"/>
    </row>
    <row r="70" spans="2:5">
      <c r="B70"/>
      <c r="C70"/>
      <c r="D70" s="103" t="str">
        <f t="shared" si="0"/>
        <v/>
      </c>
      <c r="E70" s="99"/>
    </row>
    <row r="71" spans="2:5">
      <c r="B71"/>
      <c r="C71"/>
      <c r="D71" s="103" t="str">
        <f t="shared" ref="D71:D134" si="1">IF(OR(C71="",$D$3=""),"",$D$3*3*C71)</f>
        <v/>
      </c>
      <c r="E71" s="99"/>
    </row>
    <row r="72" spans="2:5">
      <c r="B72"/>
      <c r="C72"/>
      <c r="D72" s="103" t="str">
        <f t="shared" si="1"/>
        <v/>
      </c>
      <c r="E72" s="99"/>
    </row>
    <row r="73" spans="2:5">
      <c r="B73"/>
      <c r="C73"/>
      <c r="D73" s="103" t="str">
        <f t="shared" si="1"/>
        <v/>
      </c>
      <c r="E73" s="99"/>
    </row>
    <row r="74" spans="2:5">
      <c r="B74"/>
      <c r="C74"/>
      <c r="D74" s="103" t="str">
        <f t="shared" si="1"/>
        <v/>
      </c>
      <c r="E74" s="99"/>
    </row>
    <row r="75" spans="2:5">
      <c r="B75"/>
      <c r="C75"/>
      <c r="D75" s="103" t="str">
        <f t="shared" si="1"/>
        <v/>
      </c>
      <c r="E75" s="99"/>
    </row>
    <row r="76" spans="2:5">
      <c r="B76"/>
      <c r="C76"/>
      <c r="D76" s="103" t="str">
        <f t="shared" si="1"/>
        <v/>
      </c>
      <c r="E76" s="99"/>
    </row>
    <row r="77" spans="2:5">
      <c r="B77"/>
      <c r="C77"/>
      <c r="D77" s="103" t="str">
        <f t="shared" si="1"/>
        <v/>
      </c>
      <c r="E77" s="99"/>
    </row>
    <row r="78" spans="2:5">
      <c r="B78"/>
      <c r="C78"/>
      <c r="D78" s="103" t="str">
        <f t="shared" si="1"/>
        <v/>
      </c>
      <c r="E78" s="99"/>
    </row>
    <row r="79" spans="2:5">
      <c r="B79"/>
      <c r="C79"/>
      <c r="D79" s="103" t="str">
        <f t="shared" si="1"/>
        <v/>
      </c>
      <c r="E79" s="99"/>
    </row>
    <row r="80" spans="2:5">
      <c r="B80"/>
      <c r="C80"/>
      <c r="D80" s="103" t="str">
        <f t="shared" si="1"/>
        <v/>
      </c>
      <c r="E80" s="99"/>
    </row>
    <row r="81" spans="2:5">
      <c r="B81"/>
      <c r="C81"/>
      <c r="D81" s="103" t="str">
        <f t="shared" si="1"/>
        <v/>
      </c>
      <c r="E81" s="99"/>
    </row>
    <row r="82" spans="2:5">
      <c r="B82"/>
      <c r="C82"/>
      <c r="D82" s="103" t="str">
        <f t="shared" si="1"/>
        <v/>
      </c>
      <c r="E82" s="99"/>
    </row>
    <row r="83" spans="2:5">
      <c r="B83"/>
      <c r="C83"/>
      <c r="D83" s="103" t="str">
        <f t="shared" si="1"/>
        <v/>
      </c>
      <c r="E83" s="99"/>
    </row>
    <row r="84" spans="2:5">
      <c r="B84"/>
      <c r="C84"/>
      <c r="D84" s="103" t="str">
        <f t="shared" si="1"/>
        <v/>
      </c>
      <c r="E84" s="99"/>
    </row>
    <row r="85" spans="2:5">
      <c r="B85"/>
      <c r="C85"/>
      <c r="D85" s="103" t="str">
        <f t="shared" si="1"/>
        <v/>
      </c>
      <c r="E85" s="99"/>
    </row>
    <row r="86" spans="2:5">
      <c r="B86"/>
      <c r="C86"/>
      <c r="D86" s="103" t="str">
        <f t="shared" si="1"/>
        <v/>
      </c>
      <c r="E86" s="99"/>
    </row>
    <row r="87" spans="2:5">
      <c r="B87"/>
      <c r="C87"/>
      <c r="D87" s="103" t="str">
        <f t="shared" si="1"/>
        <v/>
      </c>
      <c r="E87" s="99"/>
    </row>
    <row r="88" spans="2:5">
      <c r="B88"/>
      <c r="C88"/>
      <c r="D88" s="103" t="str">
        <f t="shared" si="1"/>
        <v/>
      </c>
      <c r="E88" s="99"/>
    </row>
    <row r="89" spans="2:5">
      <c r="B89"/>
      <c r="C89"/>
      <c r="D89" s="103" t="str">
        <f t="shared" si="1"/>
        <v/>
      </c>
      <c r="E89" s="99"/>
    </row>
    <row r="90" spans="2:5">
      <c r="B90"/>
      <c r="C90"/>
      <c r="D90" s="103" t="str">
        <f t="shared" si="1"/>
        <v/>
      </c>
      <c r="E90" s="99"/>
    </row>
    <row r="91" spans="2:5">
      <c r="B91"/>
      <c r="C91"/>
      <c r="D91" s="103" t="str">
        <f t="shared" si="1"/>
        <v/>
      </c>
      <c r="E91" s="99"/>
    </row>
    <row r="92" spans="2:5">
      <c r="B92"/>
      <c r="C92"/>
      <c r="D92" s="103" t="str">
        <f t="shared" si="1"/>
        <v/>
      </c>
      <c r="E92" s="99"/>
    </row>
    <row r="93" spans="2:5">
      <c r="B93"/>
      <c r="C93"/>
      <c r="D93" s="103" t="str">
        <f t="shared" si="1"/>
        <v/>
      </c>
      <c r="E93" s="99"/>
    </row>
    <row r="94" spans="2:5">
      <c r="B94"/>
      <c r="C94"/>
      <c r="D94" s="103" t="str">
        <f t="shared" si="1"/>
        <v/>
      </c>
      <c r="E94" s="99"/>
    </row>
    <row r="95" spans="2:5">
      <c r="B95"/>
      <c r="C95"/>
      <c r="D95" s="103" t="str">
        <f t="shared" si="1"/>
        <v/>
      </c>
      <c r="E95" s="99"/>
    </row>
    <row r="96" spans="2:5">
      <c r="B96"/>
      <c r="C96"/>
      <c r="D96" s="103" t="str">
        <f t="shared" si="1"/>
        <v/>
      </c>
      <c r="E96" s="99"/>
    </row>
    <row r="97" spans="2:5">
      <c r="B97"/>
      <c r="C97"/>
      <c r="D97" s="103" t="str">
        <f t="shared" si="1"/>
        <v/>
      </c>
      <c r="E97" s="99"/>
    </row>
    <row r="98" spans="2:5">
      <c r="B98"/>
      <c r="C98"/>
      <c r="D98" s="103" t="str">
        <f t="shared" si="1"/>
        <v/>
      </c>
      <c r="E98" s="99"/>
    </row>
    <row r="99" spans="2:5">
      <c r="B99"/>
      <c r="C99"/>
      <c r="D99" s="103" t="str">
        <f t="shared" si="1"/>
        <v/>
      </c>
      <c r="E99" s="99"/>
    </row>
    <row r="100" spans="2:5">
      <c r="B100"/>
      <c r="C100"/>
      <c r="D100" s="103" t="str">
        <f t="shared" si="1"/>
        <v/>
      </c>
      <c r="E100" s="99"/>
    </row>
    <row r="101" spans="2:5">
      <c r="B101"/>
      <c r="C101"/>
      <c r="D101" s="103" t="str">
        <f t="shared" si="1"/>
        <v/>
      </c>
      <c r="E101" s="99"/>
    </row>
    <row r="102" spans="2:5">
      <c r="B102"/>
      <c r="C102"/>
      <c r="D102" s="103" t="str">
        <f t="shared" si="1"/>
        <v/>
      </c>
      <c r="E102" s="99"/>
    </row>
    <row r="103" spans="2:5">
      <c r="B103"/>
      <c r="C103"/>
      <c r="D103" s="103" t="str">
        <f t="shared" si="1"/>
        <v/>
      </c>
      <c r="E103" s="99"/>
    </row>
    <row r="104" spans="2:5">
      <c r="B104"/>
      <c r="C104"/>
      <c r="D104" s="103" t="str">
        <f t="shared" si="1"/>
        <v/>
      </c>
      <c r="E104" s="99"/>
    </row>
    <row r="105" spans="2:5">
      <c r="B105"/>
      <c r="C105"/>
      <c r="D105" s="103" t="str">
        <f t="shared" si="1"/>
        <v/>
      </c>
      <c r="E105" s="99"/>
    </row>
    <row r="106" spans="2:5">
      <c r="B106"/>
      <c r="C106"/>
      <c r="D106" s="103" t="str">
        <f t="shared" si="1"/>
        <v/>
      </c>
      <c r="E106" s="99"/>
    </row>
    <row r="107" spans="2:5">
      <c r="B107"/>
      <c r="C107"/>
      <c r="D107" s="103" t="str">
        <f t="shared" si="1"/>
        <v/>
      </c>
      <c r="E107" s="99"/>
    </row>
    <row r="108" spans="2:5">
      <c r="B108"/>
      <c r="C108"/>
      <c r="D108" s="103" t="str">
        <f t="shared" si="1"/>
        <v/>
      </c>
      <c r="E108" s="99"/>
    </row>
    <row r="109" spans="2:5">
      <c r="B109"/>
      <c r="C109"/>
      <c r="D109" s="103" t="str">
        <f t="shared" si="1"/>
        <v/>
      </c>
      <c r="E109" s="99"/>
    </row>
    <row r="110" spans="2:5">
      <c r="B110"/>
      <c r="C110"/>
      <c r="D110" s="103" t="str">
        <f t="shared" si="1"/>
        <v/>
      </c>
      <c r="E110" s="99"/>
    </row>
    <row r="111" spans="2:5">
      <c r="B111"/>
      <c r="C111"/>
      <c r="D111" s="103" t="str">
        <f t="shared" si="1"/>
        <v/>
      </c>
      <c r="E111" s="99"/>
    </row>
    <row r="112" spans="2:5">
      <c r="B112"/>
      <c r="C112"/>
      <c r="D112" s="103" t="str">
        <f t="shared" si="1"/>
        <v/>
      </c>
      <c r="E112" s="99"/>
    </row>
    <row r="113" spans="2:5">
      <c r="B113"/>
      <c r="C113"/>
      <c r="D113" s="103" t="str">
        <f t="shared" si="1"/>
        <v/>
      </c>
      <c r="E113" s="99"/>
    </row>
    <row r="114" spans="2:5">
      <c r="B114"/>
      <c r="C114"/>
      <c r="D114" s="103" t="str">
        <f t="shared" si="1"/>
        <v/>
      </c>
      <c r="E114" s="99"/>
    </row>
    <row r="115" spans="2:5">
      <c r="B115"/>
      <c r="C115"/>
      <c r="D115" s="103" t="str">
        <f t="shared" si="1"/>
        <v/>
      </c>
      <c r="E115" s="99"/>
    </row>
    <row r="116" spans="2:5">
      <c r="B116"/>
      <c r="C116"/>
      <c r="D116" s="103" t="str">
        <f t="shared" si="1"/>
        <v/>
      </c>
      <c r="E116" s="99"/>
    </row>
    <row r="117" spans="2:5">
      <c r="B117"/>
      <c r="C117"/>
      <c r="D117" s="103" t="str">
        <f t="shared" si="1"/>
        <v/>
      </c>
      <c r="E117" s="99"/>
    </row>
    <row r="118" spans="2:5">
      <c r="B118"/>
      <c r="C118"/>
      <c r="D118" s="103" t="str">
        <f t="shared" si="1"/>
        <v/>
      </c>
      <c r="E118" s="99"/>
    </row>
    <row r="119" spans="2:5">
      <c r="B119"/>
      <c r="C119"/>
      <c r="D119" s="103" t="str">
        <f t="shared" si="1"/>
        <v/>
      </c>
      <c r="E119" s="99"/>
    </row>
    <row r="120" spans="2:5">
      <c r="B120"/>
      <c r="C120"/>
      <c r="D120" s="103" t="str">
        <f t="shared" si="1"/>
        <v/>
      </c>
      <c r="E120" s="99"/>
    </row>
    <row r="121" spans="2:5">
      <c r="B121"/>
      <c r="C121"/>
      <c r="D121" s="103" t="str">
        <f t="shared" si="1"/>
        <v/>
      </c>
      <c r="E121" s="99"/>
    </row>
    <row r="122" spans="2:5">
      <c r="B122"/>
      <c r="C122"/>
      <c r="D122" s="103" t="str">
        <f t="shared" si="1"/>
        <v/>
      </c>
      <c r="E122" s="99"/>
    </row>
    <row r="123" spans="2:5">
      <c r="B123"/>
      <c r="C123"/>
      <c r="D123" s="103" t="str">
        <f t="shared" si="1"/>
        <v/>
      </c>
      <c r="E123" s="99"/>
    </row>
    <row r="124" spans="2:5">
      <c r="B124"/>
      <c r="C124"/>
      <c r="D124" s="103" t="str">
        <f t="shared" si="1"/>
        <v/>
      </c>
      <c r="E124" s="99"/>
    </row>
    <row r="125" spans="2:5">
      <c r="B125"/>
      <c r="C125"/>
      <c r="D125" s="103" t="str">
        <f t="shared" si="1"/>
        <v/>
      </c>
      <c r="E125" s="99"/>
    </row>
    <row r="126" spans="2:5">
      <c r="B126"/>
      <c r="C126"/>
      <c r="D126" s="103" t="str">
        <f t="shared" si="1"/>
        <v/>
      </c>
      <c r="E126" s="99"/>
    </row>
    <row r="127" spans="2:5">
      <c r="B127"/>
      <c r="C127"/>
      <c r="D127" s="103" t="str">
        <f t="shared" si="1"/>
        <v/>
      </c>
      <c r="E127" s="99"/>
    </row>
    <row r="128" spans="2:5">
      <c r="B128"/>
      <c r="C128"/>
      <c r="D128" s="103" t="str">
        <f t="shared" si="1"/>
        <v/>
      </c>
      <c r="E128" s="99"/>
    </row>
    <row r="129" spans="2:5">
      <c r="B129"/>
      <c r="C129"/>
      <c r="D129" s="103" t="str">
        <f t="shared" si="1"/>
        <v/>
      </c>
      <c r="E129" s="99"/>
    </row>
    <row r="130" spans="2:5">
      <c r="B130"/>
      <c r="C130"/>
      <c r="D130" s="103" t="str">
        <f t="shared" si="1"/>
        <v/>
      </c>
      <c r="E130" s="99"/>
    </row>
    <row r="131" spans="2:5">
      <c r="B131"/>
      <c r="C131"/>
      <c r="D131" s="103" t="str">
        <f t="shared" si="1"/>
        <v/>
      </c>
      <c r="E131" s="99"/>
    </row>
    <row r="132" spans="2:5">
      <c r="B132"/>
      <c r="C132"/>
      <c r="D132" s="103" t="str">
        <f t="shared" si="1"/>
        <v/>
      </c>
      <c r="E132" s="99"/>
    </row>
    <row r="133" spans="2:5">
      <c r="B133"/>
      <c r="C133"/>
      <c r="D133" s="103" t="str">
        <f t="shared" si="1"/>
        <v/>
      </c>
      <c r="E133" s="99"/>
    </row>
    <row r="134" spans="2:5">
      <c r="B134"/>
      <c r="C134"/>
      <c r="D134" s="103" t="str">
        <f t="shared" si="1"/>
        <v/>
      </c>
      <c r="E134" s="99"/>
    </row>
    <row r="135" spans="2:5">
      <c r="B135"/>
      <c r="C135"/>
      <c r="D135" s="103" t="str">
        <f t="shared" ref="D135:D198" si="2">IF(OR(C135="",$D$3=""),"",$D$3*3*C135)</f>
        <v/>
      </c>
      <c r="E135" s="99"/>
    </row>
    <row r="136" spans="2:5">
      <c r="B136"/>
      <c r="C136"/>
      <c r="D136" s="103" t="str">
        <f t="shared" si="2"/>
        <v/>
      </c>
      <c r="E136" s="99"/>
    </row>
    <row r="137" spans="2:5">
      <c r="B137"/>
      <c r="C137"/>
      <c r="D137" s="103" t="str">
        <f t="shared" si="2"/>
        <v/>
      </c>
      <c r="E137" s="99"/>
    </row>
    <row r="138" spans="2:5">
      <c r="B138"/>
      <c r="C138"/>
      <c r="D138" s="103" t="str">
        <f t="shared" si="2"/>
        <v/>
      </c>
      <c r="E138" s="99"/>
    </row>
    <row r="139" spans="2:5">
      <c r="B139"/>
      <c r="C139"/>
      <c r="D139" s="103" t="str">
        <f t="shared" si="2"/>
        <v/>
      </c>
      <c r="E139" s="99"/>
    </row>
    <row r="140" spans="2:5">
      <c r="B140"/>
      <c r="C140"/>
      <c r="D140" s="103" t="str">
        <f t="shared" si="2"/>
        <v/>
      </c>
      <c r="E140" s="99"/>
    </row>
    <row r="141" spans="2:5">
      <c r="B141"/>
      <c r="C141"/>
      <c r="D141" s="103" t="str">
        <f t="shared" si="2"/>
        <v/>
      </c>
      <c r="E141" s="99"/>
    </row>
    <row r="142" spans="2:5">
      <c r="B142"/>
      <c r="C142"/>
      <c r="D142" s="103" t="str">
        <f t="shared" si="2"/>
        <v/>
      </c>
      <c r="E142" s="99"/>
    </row>
    <row r="143" spans="2:5">
      <c r="B143"/>
      <c r="C143"/>
      <c r="D143" s="103" t="str">
        <f t="shared" si="2"/>
        <v/>
      </c>
      <c r="E143" s="99"/>
    </row>
    <row r="144" spans="2:5">
      <c r="B144"/>
      <c r="C144"/>
      <c r="D144" s="103" t="str">
        <f t="shared" si="2"/>
        <v/>
      </c>
      <c r="E144" s="99"/>
    </row>
    <row r="145" spans="2:5">
      <c r="B145"/>
      <c r="C145"/>
      <c r="D145" s="103" t="str">
        <f t="shared" si="2"/>
        <v/>
      </c>
      <c r="E145" s="99"/>
    </row>
    <row r="146" spans="2:5">
      <c r="B146"/>
      <c r="C146"/>
      <c r="D146" s="103" t="str">
        <f t="shared" si="2"/>
        <v/>
      </c>
      <c r="E146" s="99"/>
    </row>
    <row r="147" spans="2:5">
      <c r="B147"/>
      <c r="C147"/>
      <c r="D147" s="103" t="str">
        <f t="shared" si="2"/>
        <v/>
      </c>
      <c r="E147" s="99"/>
    </row>
    <row r="148" spans="2:5">
      <c r="B148"/>
      <c r="C148"/>
      <c r="D148" s="103" t="str">
        <f t="shared" si="2"/>
        <v/>
      </c>
      <c r="E148" s="99"/>
    </row>
    <row r="149" spans="2:5">
      <c r="B149"/>
      <c r="C149"/>
      <c r="D149" s="103" t="str">
        <f t="shared" si="2"/>
        <v/>
      </c>
      <c r="E149" s="99"/>
    </row>
    <row r="150" spans="2:5">
      <c r="B150"/>
      <c r="C150"/>
      <c r="D150" s="103" t="str">
        <f t="shared" si="2"/>
        <v/>
      </c>
      <c r="E150" s="99"/>
    </row>
    <row r="151" spans="2:5">
      <c r="B151"/>
      <c r="C151"/>
      <c r="D151" s="103" t="str">
        <f t="shared" si="2"/>
        <v/>
      </c>
      <c r="E151" s="99"/>
    </row>
    <row r="152" spans="2:5">
      <c r="B152"/>
      <c r="C152"/>
      <c r="D152" s="103" t="str">
        <f t="shared" si="2"/>
        <v/>
      </c>
      <c r="E152" s="99"/>
    </row>
    <row r="153" spans="2:5">
      <c r="B153"/>
      <c r="C153"/>
      <c r="D153" s="103" t="str">
        <f t="shared" si="2"/>
        <v/>
      </c>
      <c r="E153" s="99"/>
    </row>
    <row r="154" spans="2:5">
      <c r="B154"/>
      <c r="C154"/>
      <c r="D154" s="103" t="str">
        <f t="shared" si="2"/>
        <v/>
      </c>
      <c r="E154" s="99"/>
    </row>
    <row r="155" spans="2:5">
      <c r="B155"/>
      <c r="C155"/>
      <c r="D155" s="103" t="str">
        <f t="shared" si="2"/>
        <v/>
      </c>
      <c r="E155" s="99"/>
    </row>
    <row r="156" spans="2:5">
      <c r="B156"/>
      <c r="C156"/>
      <c r="D156" s="103" t="str">
        <f t="shared" si="2"/>
        <v/>
      </c>
      <c r="E156" s="99"/>
    </row>
    <row r="157" spans="2:5">
      <c r="B157"/>
      <c r="C157"/>
      <c r="D157" s="103" t="str">
        <f t="shared" si="2"/>
        <v/>
      </c>
      <c r="E157" s="99"/>
    </row>
    <row r="158" spans="2:5">
      <c r="B158"/>
      <c r="C158"/>
      <c r="D158" s="103" t="str">
        <f t="shared" si="2"/>
        <v/>
      </c>
      <c r="E158" s="99"/>
    </row>
    <row r="159" spans="2:5">
      <c r="B159"/>
      <c r="C159"/>
      <c r="D159" s="103" t="str">
        <f t="shared" si="2"/>
        <v/>
      </c>
      <c r="E159" s="99"/>
    </row>
    <row r="160" spans="2:5">
      <c r="B160"/>
      <c r="C160"/>
      <c r="D160" s="103" t="str">
        <f t="shared" si="2"/>
        <v/>
      </c>
      <c r="E160" s="99"/>
    </row>
    <row r="161" spans="2:5">
      <c r="B161"/>
      <c r="C161"/>
      <c r="D161" s="103" t="str">
        <f t="shared" si="2"/>
        <v/>
      </c>
      <c r="E161" s="99"/>
    </row>
    <row r="162" spans="2:5">
      <c r="B162"/>
      <c r="C162"/>
      <c r="D162" s="103" t="str">
        <f t="shared" si="2"/>
        <v/>
      </c>
      <c r="E162" s="99"/>
    </row>
    <row r="163" spans="2:5">
      <c r="B163"/>
      <c r="C163"/>
      <c r="D163" s="103" t="str">
        <f t="shared" si="2"/>
        <v/>
      </c>
      <c r="E163" s="99"/>
    </row>
    <row r="164" spans="2:5">
      <c r="B164"/>
      <c r="C164"/>
      <c r="D164" s="103" t="str">
        <f t="shared" si="2"/>
        <v/>
      </c>
      <c r="E164" s="99"/>
    </row>
    <row r="165" spans="2:5">
      <c r="B165"/>
      <c r="C165"/>
      <c r="D165" s="103" t="str">
        <f t="shared" si="2"/>
        <v/>
      </c>
      <c r="E165" s="99"/>
    </row>
    <row r="166" spans="2:5">
      <c r="B166"/>
      <c r="C166"/>
      <c r="D166" s="103" t="str">
        <f t="shared" si="2"/>
        <v/>
      </c>
      <c r="E166" s="99"/>
    </row>
    <row r="167" spans="2:5">
      <c r="B167"/>
      <c r="C167"/>
      <c r="D167" s="103" t="str">
        <f t="shared" si="2"/>
        <v/>
      </c>
      <c r="E167" s="99"/>
    </row>
    <row r="168" spans="2:5">
      <c r="B168"/>
      <c r="C168"/>
      <c r="D168" s="103" t="str">
        <f t="shared" si="2"/>
        <v/>
      </c>
      <c r="E168" s="99"/>
    </row>
    <row r="169" spans="2:5">
      <c r="B169"/>
      <c r="C169"/>
      <c r="D169" s="103" t="str">
        <f t="shared" si="2"/>
        <v/>
      </c>
      <c r="E169" s="99"/>
    </row>
    <row r="170" spans="2:5">
      <c r="B170"/>
      <c r="C170"/>
      <c r="D170" s="103" t="str">
        <f t="shared" si="2"/>
        <v/>
      </c>
      <c r="E170" s="99"/>
    </row>
    <row r="171" spans="2:5">
      <c r="B171"/>
      <c r="C171"/>
      <c r="D171" s="103" t="str">
        <f t="shared" si="2"/>
        <v/>
      </c>
      <c r="E171" s="99"/>
    </row>
    <row r="172" spans="2:5">
      <c r="B172"/>
      <c r="C172"/>
      <c r="D172" s="103" t="str">
        <f t="shared" si="2"/>
        <v/>
      </c>
      <c r="E172" s="99"/>
    </row>
    <row r="173" spans="2:5">
      <c r="B173"/>
      <c r="C173"/>
      <c r="D173" s="103" t="str">
        <f t="shared" si="2"/>
        <v/>
      </c>
      <c r="E173" s="99"/>
    </row>
    <row r="174" spans="2:5">
      <c r="B174"/>
      <c r="C174"/>
      <c r="D174" s="103" t="str">
        <f t="shared" si="2"/>
        <v/>
      </c>
      <c r="E174" s="99"/>
    </row>
    <row r="175" spans="2:5">
      <c r="B175"/>
      <c r="C175"/>
      <c r="D175" s="103" t="str">
        <f t="shared" si="2"/>
        <v/>
      </c>
      <c r="E175" s="99"/>
    </row>
    <row r="176" spans="2:5">
      <c r="B176"/>
      <c r="C176"/>
      <c r="D176" s="103" t="str">
        <f t="shared" si="2"/>
        <v/>
      </c>
      <c r="E176" s="99"/>
    </row>
    <row r="177" spans="2:5">
      <c r="B177"/>
      <c r="C177"/>
      <c r="D177" s="103" t="str">
        <f t="shared" si="2"/>
        <v/>
      </c>
      <c r="E177" s="99"/>
    </row>
    <row r="178" spans="2:5">
      <c r="B178"/>
      <c r="C178"/>
      <c r="D178" s="103" t="str">
        <f t="shared" si="2"/>
        <v/>
      </c>
      <c r="E178" s="99"/>
    </row>
    <row r="179" spans="2:5">
      <c r="B179"/>
      <c r="C179"/>
      <c r="D179" s="103" t="str">
        <f t="shared" si="2"/>
        <v/>
      </c>
      <c r="E179" s="99"/>
    </row>
    <row r="180" spans="2:5">
      <c r="B180"/>
      <c r="C180"/>
      <c r="D180" s="103" t="str">
        <f t="shared" si="2"/>
        <v/>
      </c>
      <c r="E180" s="99"/>
    </row>
    <row r="181" spans="2:5">
      <c r="B181"/>
      <c r="C181"/>
      <c r="D181" s="103" t="str">
        <f t="shared" si="2"/>
        <v/>
      </c>
      <c r="E181" s="99"/>
    </row>
    <row r="182" spans="2:5">
      <c r="B182"/>
      <c r="C182"/>
      <c r="D182" s="103" t="str">
        <f t="shared" si="2"/>
        <v/>
      </c>
      <c r="E182" s="99"/>
    </row>
    <row r="183" spans="2:5">
      <c r="B183"/>
      <c r="C183"/>
      <c r="D183" s="103" t="str">
        <f t="shared" si="2"/>
        <v/>
      </c>
      <c r="E183" s="99"/>
    </row>
    <row r="184" spans="2:5">
      <c r="B184"/>
      <c r="C184"/>
      <c r="D184" s="103" t="str">
        <f t="shared" si="2"/>
        <v/>
      </c>
      <c r="E184" s="99"/>
    </row>
    <row r="185" spans="2:5">
      <c r="B185"/>
      <c r="C185"/>
      <c r="D185" s="103" t="str">
        <f t="shared" si="2"/>
        <v/>
      </c>
      <c r="E185" s="99"/>
    </row>
    <row r="186" spans="2:5">
      <c r="B186"/>
      <c r="C186"/>
      <c r="D186" s="103" t="str">
        <f t="shared" si="2"/>
        <v/>
      </c>
      <c r="E186" s="99"/>
    </row>
    <row r="187" spans="2:5">
      <c r="B187"/>
      <c r="C187"/>
      <c r="D187" s="103" t="str">
        <f t="shared" si="2"/>
        <v/>
      </c>
      <c r="E187" s="99"/>
    </row>
    <row r="188" spans="2:5">
      <c r="B188"/>
      <c r="C188"/>
      <c r="D188" s="103" t="str">
        <f t="shared" si="2"/>
        <v/>
      </c>
      <c r="E188" s="99"/>
    </row>
    <row r="189" spans="2:5">
      <c r="B189"/>
      <c r="C189"/>
      <c r="D189" s="103" t="str">
        <f t="shared" si="2"/>
        <v/>
      </c>
      <c r="E189" s="99"/>
    </row>
    <row r="190" spans="2:5">
      <c r="B190"/>
      <c r="C190"/>
      <c r="D190" s="103" t="str">
        <f t="shared" si="2"/>
        <v/>
      </c>
      <c r="E190" s="99"/>
    </row>
    <row r="191" spans="2:5">
      <c r="B191"/>
      <c r="C191"/>
      <c r="D191" s="103" t="str">
        <f t="shared" si="2"/>
        <v/>
      </c>
      <c r="E191" s="99"/>
    </row>
    <row r="192" spans="2:5">
      <c r="B192"/>
      <c r="C192"/>
      <c r="D192" s="103" t="str">
        <f t="shared" si="2"/>
        <v/>
      </c>
      <c r="E192" s="99"/>
    </row>
    <row r="193" spans="2:5">
      <c r="B193"/>
      <c r="C193"/>
      <c r="D193" s="103" t="str">
        <f t="shared" si="2"/>
        <v/>
      </c>
      <c r="E193" s="99"/>
    </row>
    <row r="194" spans="2:5">
      <c r="B194"/>
      <c r="C194"/>
      <c r="D194" s="103" t="str">
        <f t="shared" si="2"/>
        <v/>
      </c>
      <c r="E194" s="99"/>
    </row>
    <row r="195" spans="2:5">
      <c r="B195"/>
      <c r="C195"/>
      <c r="D195" s="103" t="str">
        <f t="shared" si="2"/>
        <v/>
      </c>
      <c r="E195" s="99"/>
    </row>
    <row r="196" spans="2:5">
      <c r="B196"/>
      <c r="C196"/>
      <c r="D196" s="103" t="str">
        <f t="shared" si="2"/>
        <v/>
      </c>
      <c r="E196" s="99"/>
    </row>
    <row r="197" spans="2:5">
      <c r="B197"/>
      <c r="C197"/>
      <c r="D197" s="103" t="str">
        <f t="shared" si="2"/>
        <v/>
      </c>
      <c r="E197" s="99"/>
    </row>
    <row r="198" spans="2:5">
      <c r="B198"/>
      <c r="C198"/>
      <c r="D198" s="103" t="str">
        <f t="shared" si="2"/>
        <v/>
      </c>
      <c r="E198" s="99"/>
    </row>
    <row r="199" spans="2:5">
      <c r="B199"/>
      <c r="C199"/>
      <c r="D199" s="103" t="str">
        <f t="shared" ref="D199:D206" si="3">IF(OR(C199="",$D$3=""),"",$D$3*3*C199)</f>
        <v/>
      </c>
      <c r="E199" s="99"/>
    </row>
    <row r="200" spans="2:5">
      <c r="B200"/>
      <c r="C200"/>
      <c r="D200" s="103" t="str">
        <f t="shared" si="3"/>
        <v/>
      </c>
      <c r="E200" s="99"/>
    </row>
    <row r="201" spans="2:5">
      <c r="B201"/>
      <c r="C201"/>
      <c r="D201" s="103" t="str">
        <f t="shared" si="3"/>
        <v/>
      </c>
      <c r="E201" s="99"/>
    </row>
    <row r="202" spans="2:5">
      <c r="B202"/>
      <c r="C202"/>
      <c r="D202" s="103" t="str">
        <f t="shared" si="3"/>
        <v/>
      </c>
      <c r="E202" s="99"/>
    </row>
    <row r="203" spans="2:5">
      <c r="B203"/>
      <c r="C203"/>
      <c r="D203" s="103" t="str">
        <f t="shared" si="3"/>
        <v/>
      </c>
      <c r="E203" s="99"/>
    </row>
    <row r="204" spans="2:5">
      <c r="B204"/>
      <c r="C204"/>
      <c r="D204" s="103" t="str">
        <f t="shared" si="3"/>
        <v/>
      </c>
      <c r="E204" s="99"/>
    </row>
    <row r="205" spans="2:5">
      <c r="B205"/>
      <c r="C205"/>
      <c r="D205" s="103" t="str">
        <f t="shared" si="3"/>
        <v/>
      </c>
      <c r="E205" s="99"/>
    </row>
    <row r="206" spans="2:5">
      <c r="B206"/>
      <c r="C206"/>
      <c r="D206" s="103" t="str">
        <f t="shared" si="3"/>
        <v/>
      </c>
      <c r="E206" s="99"/>
    </row>
  </sheetData>
  <mergeCells count="1">
    <mergeCell ref="B3:C3"/>
  </mergeCells>
  <dataValidations count="1">
    <dataValidation type="whole" allowBlank="1" showInputMessage="1" showErrorMessage="1" sqref="D3:E3" xr:uid="{00000000-0002-0000-0200-000000000000}">
      <formula1>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H610"/>
  <sheetViews>
    <sheetView workbookViewId="0">
      <selection activeCell="V16" sqref="V16"/>
    </sheetView>
  </sheetViews>
  <sheetFormatPr defaultRowHeight="15"/>
  <cols>
    <col min="1" max="1" width="10" bestFit="1" customWidth="1"/>
    <col min="2" max="2" width="6.5703125" bestFit="1" customWidth="1"/>
    <col min="3" max="3" width="11.28515625" bestFit="1" customWidth="1"/>
    <col min="4" max="4" width="8.85546875" bestFit="1" customWidth="1"/>
    <col min="5" max="5" width="8.5703125" bestFit="1" customWidth="1"/>
    <col min="6" max="7" width="10.28515625" bestFit="1" customWidth="1"/>
    <col min="8" max="8" width="8.140625" bestFit="1" customWidth="1"/>
    <col min="9" max="9" width="15.5703125" bestFit="1" customWidth="1"/>
    <col min="10" max="10" width="11" bestFit="1" customWidth="1"/>
    <col min="11" max="11" width="12.7109375" bestFit="1" customWidth="1"/>
    <col min="12" max="12" width="11.28515625" bestFit="1" customWidth="1"/>
    <col min="13" max="13" width="3.7109375" bestFit="1" customWidth="1"/>
    <col min="14" max="14" width="7" bestFit="1" customWidth="1"/>
    <col min="15" max="15" width="8.28515625" bestFit="1" customWidth="1"/>
    <col min="16" max="16" width="11.28515625" bestFit="1" customWidth="1"/>
    <col min="17" max="17" width="15.5703125" bestFit="1" customWidth="1"/>
    <col min="18" max="18" width="7.140625" bestFit="1" customWidth="1"/>
    <col min="19" max="19" width="8.85546875" bestFit="1" customWidth="1"/>
    <col min="20" max="20" width="11" bestFit="1" customWidth="1"/>
    <col min="21" max="21" width="7.140625" style="87" bestFit="1" customWidth="1"/>
    <col min="22" max="22" width="11" style="83" bestFit="1" customWidth="1"/>
    <col min="23" max="23" width="12.7109375" style="87" bestFit="1" customWidth="1"/>
    <col min="24" max="24" width="11.28515625" style="87" bestFit="1" customWidth="1"/>
    <col min="25" max="25" width="10.28515625" customWidth="1"/>
    <col min="26" max="26" width="3.7109375" bestFit="1" customWidth="1"/>
    <col min="27" max="27" width="8" bestFit="1" customWidth="1"/>
    <col min="28" max="28" width="8" customWidth="1"/>
    <col min="29" max="29" width="11.28515625" style="83" bestFit="1" customWidth="1"/>
    <col min="30" max="30" width="15.5703125" style="83" bestFit="1" customWidth="1"/>
    <col min="31" max="31" width="7.140625" style="83" bestFit="1" customWidth="1"/>
    <col min="32" max="32" width="11" style="83" bestFit="1" customWidth="1"/>
    <col min="33" max="33" width="7.140625" bestFit="1" customWidth="1"/>
    <col min="34" max="34" width="72.42578125" bestFit="1" customWidth="1"/>
  </cols>
  <sheetData>
    <row r="1" spans="1:34">
      <c r="A1" t="s">
        <v>219</v>
      </c>
      <c r="B1" t="s">
        <v>143</v>
      </c>
      <c r="C1" t="s">
        <v>144</v>
      </c>
      <c r="D1" t="s">
        <v>145</v>
      </c>
      <c r="E1" t="s">
        <v>146</v>
      </c>
      <c r="F1" t="s">
        <v>39</v>
      </c>
      <c r="G1" t="s">
        <v>148</v>
      </c>
      <c r="H1" t="s">
        <v>149</v>
      </c>
      <c r="I1" t="s">
        <v>150</v>
      </c>
      <c r="J1" t="s">
        <v>216</v>
      </c>
      <c r="K1" t="s">
        <v>215</v>
      </c>
      <c r="L1" t="s">
        <v>217</v>
      </c>
    </row>
    <row r="2" spans="1:34">
      <c r="A2" t="s">
        <v>220</v>
      </c>
      <c r="B2">
        <v>10001</v>
      </c>
      <c r="C2" s="83">
        <v>968.12000000000023</v>
      </c>
      <c r="D2" s="83">
        <v>73.981988492890324</v>
      </c>
      <c r="E2" s="83">
        <v>41.470236096350263</v>
      </c>
      <c r="F2">
        <v>1</v>
      </c>
      <c r="G2" s="83">
        <v>11.91400397375444</v>
      </c>
      <c r="H2" s="83">
        <v>3.9288288661199999</v>
      </c>
      <c r="I2" s="83">
        <v>614.87000000000069</v>
      </c>
      <c r="J2" s="83">
        <v>0</v>
      </c>
      <c r="K2" s="83">
        <v>4.674830364401104</v>
      </c>
      <c r="L2" s="83">
        <v>40.918374131841986</v>
      </c>
    </row>
    <row r="3" spans="1:34">
      <c r="A3" t="s">
        <v>221</v>
      </c>
      <c r="B3">
        <v>10002</v>
      </c>
      <c r="C3" s="83">
        <v>1023.7300000000001</v>
      </c>
      <c r="D3" s="83">
        <v>26.184985141889804</v>
      </c>
      <c r="E3" s="83">
        <v>74.763682482293362</v>
      </c>
      <c r="F3">
        <v>1</v>
      </c>
      <c r="G3" s="83">
        <v>6.209108767188587</v>
      </c>
      <c r="H3" s="83">
        <v>10.8950264354</v>
      </c>
      <c r="I3" s="83">
        <v>614.87000000000069</v>
      </c>
      <c r="J3" s="83">
        <v>53.277099247715753</v>
      </c>
      <c r="K3" s="83">
        <v>4.0670274379247147</v>
      </c>
      <c r="L3" s="83">
        <v>73.314215111500232</v>
      </c>
      <c r="M3" t="s">
        <v>159</v>
      </c>
      <c r="N3" t="s">
        <v>151</v>
      </c>
      <c r="O3" t="s">
        <v>829</v>
      </c>
      <c r="P3" t="s">
        <v>144</v>
      </c>
      <c r="Q3" t="s">
        <v>150</v>
      </c>
      <c r="R3" t="s">
        <v>165</v>
      </c>
      <c r="S3" t="s">
        <v>145</v>
      </c>
      <c r="T3" t="s">
        <v>166</v>
      </c>
      <c r="U3" s="87" t="s">
        <v>147</v>
      </c>
      <c r="V3" s="83" t="s">
        <v>216</v>
      </c>
      <c r="W3" t="s">
        <v>215</v>
      </c>
      <c r="X3" t="s">
        <v>217</v>
      </c>
      <c r="Z3" t="s">
        <v>159</v>
      </c>
      <c r="AA3" t="s">
        <v>151</v>
      </c>
      <c r="AB3" t="s">
        <v>829</v>
      </c>
      <c r="AC3" s="83" t="s">
        <v>144</v>
      </c>
      <c r="AD3" t="s">
        <v>150</v>
      </c>
      <c r="AE3" s="83" t="s">
        <v>165</v>
      </c>
      <c r="AF3" s="83" t="s">
        <v>166</v>
      </c>
      <c r="AG3" t="s">
        <v>147</v>
      </c>
    </row>
    <row r="4" spans="1:34">
      <c r="A4" t="s">
        <v>222</v>
      </c>
      <c r="B4">
        <v>10003</v>
      </c>
      <c r="C4" s="83">
        <v>1029.3400000000004</v>
      </c>
      <c r="D4" s="83">
        <v>72.119346416775528</v>
      </c>
      <c r="E4" s="83">
        <v>74.643645845433937</v>
      </c>
      <c r="F4">
        <v>3</v>
      </c>
      <c r="G4" s="83">
        <v>4.5822028829323367</v>
      </c>
      <c r="H4" s="83">
        <v>7.2890640280999994</v>
      </c>
      <c r="I4" s="83">
        <v>615.05000000000086</v>
      </c>
      <c r="J4" s="83">
        <v>2.6511029034141269</v>
      </c>
      <c r="K4" s="83">
        <v>6.1798693748397815</v>
      </c>
      <c r="L4" s="83">
        <v>66.99969236082292</v>
      </c>
      <c r="M4" t="s">
        <v>30</v>
      </c>
      <c r="N4" t="str">
        <f>Vandgennemstrømning!$C$22</f>
        <v>623_54</v>
      </c>
      <c r="O4">
        <f>IF(COUNTIF($B$2:$B$610,N4),N4,VLOOKUP(N4,$A$2:$B$610,2,FALSE))</f>
        <v>10250</v>
      </c>
      <c r="P4" s="83">
        <f>VLOOKUP($O4,$B$2:$C$610,2,FALSE)</f>
        <v>859.89000000000033</v>
      </c>
      <c r="Q4" s="83">
        <f>VLOOKUP($O4,$B$2:$I$610,8,FALSE)</f>
        <v>599.72000000000071</v>
      </c>
      <c r="R4" s="83">
        <f>VLOOKUP($O4,$B$2:$H$610,7,FALSE)</f>
        <v>7.9615153842599993</v>
      </c>
      <c r="S4" s="83">
        <f>VLOOKUP($O4,$B$2:$D$610,3,FALSE)</f>
        <v>45.490047304634494</v>
      </c>
      <c r="T4" s="83">
        <f>VLOOKUP($O4,$B$2:$G$610,6,FALSE)</f>
        <v>11.423500366764568</v>
      </c>
      <c r="U4" s="87">
        <f>VLOOKUP($O4,$B$2:$F$610,5,FALSE)</f>
        <v>6</v>
      </c>
      <c r="V4" s="83">
        <f>VLOOKUP($O4,$B$2:$K$610,9,FALSE)</f>
        <v>27.565288617467328</v>
      </c>
      <c r="W4" s="83">
        <f>VLOOKUP($O4,$B$2:$L$610,10,FALSE)</f>
        <v>3.8373999616260006</v>
      </c>
      <c r="X4" s="83">
        <f>VLOOKUP($O4,$B$2:$L$610,11,FALSE)</f>
        <v>62.066098770337163</v>
      </c>
      <c r="Z4" t="s">
        <v>161</v>
      </c>
      <c r="AA4" t="str">
        <f>Vandgennemstrømning!L22</f>
        <v>623_54</v>
      </c>
      <c r="AB4">
        <f>IF(COUNTIF($B$2:$B$610,AA4),AA4,VLOOKUP(AA4,$A$2:$B$610,2,FALSE))</f>
        <v>10250</v>
      </c>
      <c r="AC4" s="83">
        <f>VLOOKUP($AB4,$B$2:$C$610,2,FALSE)</f>
        <v>859.89000000000033</v>
      </c>
      <c r="AD4" s="83">
        <f>VLOOKUP($AB4,$B$2:$I$610,8,FALSE)</f>
        <v>599.72000000000071</v>
      </c>
      <c r="AE4" s="83">
        <f>VLOOKUP($AB4,$B$2:$H$610,7,FALSE)</f>
        <v>7.9615153842599993</v>
      </c>
      <c r="AF4" s="83">
        <f>VLOOKUP($AB4,$B$2:$G$610,6,FALSE)</f>
        <v>11.423500366764568</v>
      </c>
      <c r="AG4">
        <f>VLOOKUP($AB4,$B$2:$F$610,5,FALSE)</f>
        <v>6</v>
      </c>
    </row>
    <row r="5" spans="1:34">
      <c r="A5" t="s">
        <v>223</v>
      </c>
      <c r="B5">
        <v>10004</v>
      </c>
      <c r="C5" s="83">
        <v>1018.3700000000002</v>
      </c>
      <c r="D5" s="83">
        <v>92.317194427605074</v>
      </c>
      <c r="E5" s="83">
        <v>40.247638474291463</v>
      </c>
      <c r="F5">
        <v>3</v>
      </c>
      <c r="G5" s="83">
        <v>14.242332402418866</v>
      </c>
      <c r="H5" s="83">
        <v>3.7915594617099999</v>
      </c>
      <c r="I5" s="83">
        <v>615.05000000000086</v>
      </c>
      <c r="J5" s="83">
        <v>0</v>
      </c>
      <c r="K5" s="83">
        <v>13.180241654721462</v>
      </c>
      <c r="L5" s="83">
        <v>30.387095673417953</v>
      </c>
      <c r="M5" t="s">
        <v>31</v>
      </c>
      <c r="N5">
        <f>Vandgennemstrømning!$D$22</f>
        <v>0</v>
      </c>
      <c r="O5" t="e">
        <f t="shared" ref="O5:O27" si="0">IF(COUNTIF($B$2:$B$610,N5),N5,VLOOKUP(N5,$A$2:$B$610,2,FALSE))</f>
        <v>#N/A</v>
      </c>
      <c r="P5" s="83" t="e">
        <f t="shared" ref="P5:P27" si="1">VLOOKUP($O5,$B$2:$C$610,2,FALSE)</f>
        <v>#N/A</v>
      </c>
      <c r="Q5" s="83" t="e">
        <f t="shared" ref="Q5:Q27" si="2">VLOOKUP($O5,$B$2:$I$610,8,FALSE)</f>
        <v>#N/A</v>
      </c>
      <c r="R5" s="83" t="e">
        <f t="shared" ref="R5:R27" si="3">VLOOKUP($O5,$B$2:$H$610,7,FALSE)</f>
        <v>#N/A</v>
      </c>
      <c r="S5" s="83" t="e">
        <f t="shared" ref="S5:S27" si="4">VLOOKUP($O5,$B$2:$D$610,3,FALSE)</f>
        <v>#N/A</v>
      </c>
      <c r="T5" s="83" t="e">
        <f t="shared" ref="T5:T27" si="5">VLOOKUP($O5,$B$2:$G$610,6,FALSE)</f>
        <v>#N/A</v>
      </c>
      <c r="U5" s="87" t="e">
        <f t="shared" ref="U5:U27" si="6">VLOOKUP($O5,$B$2:$F$610,5,FALSE)</f>
        <v>#N/A</v>
      </c>
      <c r="V5" s="83" t="e">
        <f t="shared" ref="V5:V27" si="7">VLOOKUP($O5,$B$2:$K$610,9,FALSE)</f>
        <v>#N/A</v>
      </c>
      <c r="W5" s="83" t="e">
        <f t="shared" ref="W5:W27" si="8">VLOOKUP($O5,$B$2:$L$610,10,FALSE)</f>
        <v>#N/A</v>
      </c>
      <c r="X5" s="83" t="e">
        <f t="shared" ref="X5:X27" si="9">VLOOKUP($O5,$B$2:$L$610,11,FALSE)</f>
        <v>#N/A</v>
      </c>
      <c r="Z5" t="s">
        <v>162</v>
      </c>
      <c r="AA5">
        <f>Vandgennemstrømning!M22</f>
        <v>0</v>
      </c>
      <c r="AB5" t="e">
        <f t="shared" ref="AB5:AB12" si="10">IF(COUNTIF($B$2:$B$610,AA5),AA5,VLOOKUP(AA5,$A$2:$B$610,2,FALSE))</f>
        <v>#N/A</v>
      </c>
      <c r="AC5" s="83" t="e">
        <f t="shared" ref="AC5:AC12" si="11">VLOOKUP($AB5,$B$2:$C$610,2,FALSE)</f>
        <v>#N/A</v>
      </c>
      <c r="AD5" s="83" t="e">
        <f t="shared" ref="AD5:AD12" si="12">VLOOKUP($AB5,$B$2:$I$610,8,FALSE)</f>
        <v>#N/A</v>
      </c>
      <c r="AE5" s="83" t="e">
        <f t="shared" ref="AE5:AE12" si="13">VLOOKUP($AB5,$B$2:$H$610,7,FALSE)</f>
        <v>#N/A</v>
      </c>
      <c r="AF5" s="83" t="e">
        <f t="shared" ref="AF5:AF12" si="14">VLOOKUP($AB5,$B$2:$G$610,6,FALSE)</f>
        <v>#N/A</v>
      </c>
      <c r="AG5" t="e">
        <f t="shared" ref="AG5:AG12" si="15">VLOOKUP($AB5,$B$2:$F$610,5,FALSE)</f>
        <v>#N/A</v>
      </c>
    </row>
    <row r="6" spans="1:34">
      <c r="A6" t="s">
        <v>224</v>
      </c>
      <c r="B6">
        <v>10005</v>
      </c>
      <c r="C6" s="83">
        <v>1012.8599999999999</v>
      </c>
      <c r="D6" s="83">
        <v>84.555150982123138</v>
      </c>
      <c r="E6" s="83">
        <v>44.141627340127286</v>
      </c>
      <c r="F6">
        <v>3</v>
      </c>
      <c r="G6" s="83">
        <v>14.244461664899145</v>
      </c>
      <c r="H6" s="83">
        <v>4.6181744629399999</v>
      </c>
      <c r="I6" s="83">
        <v>620.17000000000064</v>
      </c>
      <c r="J6" s="83">
        <v>0.9182241080581256</v>
      </c>
      <c r="K6" s="83">
        <v>2.0100004077389455</v>
      </c>
      <c r="L6" s="83">
        <v>39.002905551704139</v>
      </c>
      <c r="M6" t="s">
        <v>152</v>
      </c>
      <c r="N6">
        <f>Vandgennemstrømning!$E$22</f>
        <v>0</v>
      </c>
      <c r="O6" t="e">
        <f t="shared" si="0"/>
        <v>#N/A</v>
      </c>
      <c r="P6" s="83" t="e">
        <f t="shared" si="1"/>
        <v>#N/A</v>
      </c>
      <c r="Q6" s="83" t="e">
        <f t="shared" si="2"/>
        <v>#N/A</v>
      </c>
      <c r="R6" s="83" t="e">
        <f t="shared" si="3"/>
        <v>#N/A</v>
      </c>
      <c r="S6" s="83" t="e">
        <f t="shared" si="4"/>
        <v>#N/A</v>
      </c>
      <c r="T6" s="83" t="e">
        <f t="shared" si="5"/>
        <v>#N/A</v>
      </c>
      <c r="U6" s="87" t="e">
        <f t="shared" si="6"/>
        <v>#N/A</v>
      </c>
      <c r="V6" s="83" t="e">
        <f t="shared" si="7"/>
        <v>#N/A</v>
      </c>
      <c r="W6" s="83" t="e">
        <f t="shared" si="8"/>
        <v>#N/A</v>
      </c>
      <c r="X6" s="83" t="e">
        <f t="shared" si="9"/>
        <v>#N/A</v>
      </c>
      <c r="Z6" t="s">
        <v>163</v>
      </c>
      <c r="AA6">
        <f>Vandgennemstrømning!N22</f>
        <v>0</v>
      </c>
      <c r="AB6" t="e">
        <f t="shared" si="10"/>
        <v>#N/A</v>
      </c>
      <c r="AC6" s="83" t="e">
        <f t="shared" si="11"/>
        <v>#N/A</v>
      </c>
      <c r="AD6" s="83" t="e">
        <f t="shared" si="12"/>
        <v>#N/A</v>
      </c>
      <c r="AE6" s="83" t="e">
        <f t="shared" si="13"/>
        <v>#N/A</v>
      </c>
      <c r="AF6" s="83" t="e">
        <f t="shared" si="14"/>
        <v>#N/A</v>
      </c>
      <c r="AG6" t="e">
        <f t="shared" si="15"/>
        <v>#N/A</v>
      </c>
    </row>
    <row r="7" spans="1:34">
      <c r="A7" t="s">
        <v>225</v>
      </c>
      <c r="B7">
        <v>10006</v>
      </c>
      <c r="C7" s="83">
        <v>1014.4400000000002</v>
      </c>
      <c r="D7" s="83">
        <v>68.785050074385282</v>
      </c>
      <c r="E7" s="83">
        <v>50.942564618146321</v>
      </c>
      <c r="F7">
        <v>3</v>
      </c>
      <c r="G7" s="83">
        <v>8.4863689501024844</v>
      </c>
      <c r="H7" s="83">
        <v>6.9525450422099997</v>
      </c>
      <c r="I7" s="83">
        <v>620.17000000000064</v>
      </c>
      <c r="J7" s="83">
        <v>10.75944763653388</v>
      </c>
      <c r="K7" s="83">
        <v>8.0044663930360773</v>
      </c>
      <c r="L7" s="83">
        <v>50.490021219894956</v>
      </c>
      <c r="M7" t="s">
        <v>153</v>
      </c>
      <c r="N7">
        <f>Vandgennemstrømning!$F$22</f>
        <v>0</v>
      </c>
      <c r="O7" t="e">
        <f t="shared" si="0"/>
        <v>#N/A</v>
      </c>
      <c r="P7" s="83" t="e">
        <f t="shared" si="1"/>
        <v>#N/A</v>
      </c>
      <c r="Q7" s="83" t="e">
        <f t="shared" si="2"/>
        <v>#N/A</v>
      </c>
      <c r="R7" s="83" t="e">
        <f t="shared" si="3"/>
        <v>#N/A</v>
      </c>
      <c r="S7" s="83" t="e">
        <f t="shared" si="4"/>
        <v>#N/A</v>
      </c>
      <c r="T7" s="83" t="e">
        <f t="shared" si="5"/>
        <v>#N/A</v>
      </c>
      <c r="U7" s="87" t="e">
        <f t="shared" si="6"/>
        <v>#N/A</v>
      </c>
      <c r="V7" s="83" t="e">
        <f t="shared" si="7"/>
        <v>#N/A</v>
      </c>
      <c r="W7" s="83" t="e">
        <f t="shared" si="8"/>
        <v>#N/A</v>
      </c>
      <c r="X7" s="83" t="e">
        <f t="shared" si="9"/>
        <v>#N/A</v>
      </c>
      <c r="Z7" t="s">
        <v>161</v>
      </c>
      <c r="AA7">
        <f>Vandgennemstrømning!L23</f>
        <v>0</v>
      </c>
      <c r="AB7" t="e">
        <f t="shared" si="10"/>
        <v>#N/A</v>
      </c>
      <c r="AC7" s="83" t="e">
        <f t="shared" si="11"/>
        <v>#N/A</v>
      </c>
      <c r="AD7" s="83" t="e">
        <f t="shared" si="12"/>
        <v>#N/A</v>
      </c>
      <c r="AE7" s="83" t="e">
        <f t="shared" si="13"/>
        <v>#N/A</v>
      </c>
      <c r="AF7" s="83" t="e">
        <f t="shared" si="14"/>
        <v>#N/A</v>
      </c>
      <c r="AG7" t="e">
        <f t="shared" si="15"/>
        <v>#N/A</v>
      </c>
    </row>
    <row r="8" spans="1:34">
      <c r="A8" t="s">
        <v>226</v>
      </c>
      <c r="B8">
        <v>10007</v>
      </c>
      <c r="C8" s="83">
        <v>1003.3800000000003</v>
      </c>
      <c r="D8" s="83">
        <v>86.340611286341471</v>
      </c>
      <c r="E8" s="83">
        <v>34.299111985910933</v>
      </c>
      <c r="F8">
        <v>3</v>
      </c>
      <c r="G8" s="83">
        <v>12.873687381447787</v>
      </c>
      <c r="H8" s="83">
        <v>4.5938351217499998</v>
      </c>
      <c r="I8" s="83">
        <v>628.91000000000054</v>
      </c>
      <c r="J8" s="83">
        <v>9.3990999060063274</v>
      </c>
      <c r="K8" s="83">
        <v>6.4736836585190956</v>
      </c>
      <c r="L8" s="83">
        <v>35.486022462941591</v>
      </c>
      <c r="M8" t="s">
        <v>154</v>
      </c>
      <c r="N8">
        <f>Vandgennemstrømning!$G$22</f>
        <v>0</v>
      </c>
      <c r="O8" t="e">
        <f t="shared" si="0"/>
        <v>#N/A</v>
      </c>
      <c r="P8" s="83" t="e">
        <f t="shared" si="1"/>
        <v>#N/A</v>
      </c>
      <c r="Q8" s="83" t="e">
        <f t="shared" si="2"/>
        <v>#N/A</v>
      </c>
      <c r="R8" s="83" t="e">
        <f t="shared" si="3"/>
        <v>#N/A</v>
      </c>
      <c r="S8" s="83" t="e">
        <f t="shared" si="4"/>
        <v>#N/A</v>
      </c>
      <c r="T8" s="83" t="e">
        <f t="shared" si="5"/>
        <v>#N/A</v>
      </c>
      <c r="U8" s="87" t="e">
        <f t="shared" si="6"/>
        <v>#N/A</v>
      </c>
      <c r="V8" s="83" t="e">
        <f t="shared" si="7"/>
        <v>#N/A</v>
      </c>
      <c r="W8" s="83" t="e">
        <f t="shared" si="8"/>
        <v>#N/A</v>
      </c>
      <c r="X8" s="83" t="e">
        <f t="shared" si="9"/>
        <v>#N/A</v>
      </c>
      <c r="Z8" t="s">
        <v>162</v>
      </c>
      <c r="AA8">
        <f>Vandgennemstrømning!M23</f>
        <v>0</v>
      </c>
      <c r="AB8" t="e">
        <f t="shared" si="10"/>
        <v>#N/A</v>
      </c>
      <c r="AC8" s="83" t="e">
        <f t="shared" si="11"/>
        <v>#N/A</v>
      </c>
      <c r="AD8" s="83" t="e">
        <f t="shared" si="12"/>
        <v>#N/A</v>
      </c>
      <c r="AE8" s="83" t="e">
        <f t="shared" si="13"/>
        <v>#N/A</v>
      </c>
      <c r="AF8" s="83" t="e">
        <f t="shared" si="14"/>
        <v>#N/A</v>
      </c>
      <c r="AG8" t="e">
        <f t="shared" si="15"/>
        <v>#N/A</v>
      </c>
    </row>
    <row r="9" spans="1:34">
      <c r="A9" t="s">
        <v>227</v>
      </c>
      <c r="B9">
        <v>10008</v>
      </c>
      <c r="C9" s="83">
        <v>1003.3100000000002</v>
      </c>
      <c r="D9" s="83">
        <v>98.585015627640814</v>
      </c>
      <c r="E9" s="83">
        <v>13.158442634575975</v>
      </c>
      <c r="F9">
        <v>3</v>
      </c>
      <c r="G9" s="83">
        <v>24.541617918493159</v>
      </c>
      <c r="H9" s="83">
        <v>2.6419006940699998</v>
      </c>
      <c r="I9" s="83">
        <v>628.91000000000054</v>
      </c>
      <c r="J9" s="83">
        <v>0</v>
      </c>
      <c r="K9" s="83">
        <v>3.7555304120741746</v>
      </c>
      <c r="L9" s="83">
        <v>11.120143383483523</v>
      </c>
      <c r="M9" t="s">
        <v>155</v>
      </c>
      <c r="N9">
        <f>Vandgennemstrømning!$H$22</f>
        <v>0</v>
      </c>
      <c r="O9" t="e">
        <f t="shared" si="0"/>
        <v>#N/A</v>
      </c>
      <c r="P9" s="83" t="e">
        <f t="shared" si="1"/>
        <v>#N/A</v>
      </c>
      <c r="Q9" s="83" t="e">
        <f t="shared" si="2"/>
        <v>#N/A</v>
      </c>
      <c r="R9" s="83" t="e">
        <f t="shared" si="3"/>
        <v>#N/A</v>
      </c>
      <c r="S9" s="83" t="e">
        <f t="shared" si="4"/>
        <v>#N/A</v>
      </c>
      <c r="T9" s="83" t="e">
        <f t="shared" si="5"/>
        <v>#N/A</v>
      </c>
      <c r="U9" s="87" t="e">
        <f t="shared" si="6"/>
        <v>#N/A</v>
      </c>
      <c r="V9" s="83" t="e">
        <f t="shared" si="7"/>
        <v>#N/A</v>
      </c>
      <c r="W9" s="83" t="e">
        <f t="shared" si="8"/>
        <v>#N/A</v>
      </c>
      <c r="X9" s="83" t="e">
        <f t="shared" si="9"/>
        <v>#N/A</v>
      </c>
      <c r="Z9" t="s">
        <v>163</v>
      </c>
      <c r="AA9">
        <f>Vandgennemstrømning!N23</f>
        <v>0</v>
      </c>
      <c r="AB9" t="e">
        <f t="shared" si="10"/>
        <v>#N/A</v>
      </c>
      <c r="AC9" s="83" t="e">
        <f t="shared" si="11"/>
        <v>#N/A</v>
      </c>
      <c r="AD9" s="83" t="e">
        <f t="shared" si="12"/>
        <v>#N/A</v>
      </c>
      <c r="AE9" s="83" t="e">
        <f t="shared" si="13"/>
        <v>#N/A</v>
      </c>
      <c r="AF9" s="83" t="e">
        <f t="shared" si="14"/>
        <v>#N/A</v>
      </c>
      <c r="AG9" t="e">
        <f t="shared" si="15"/>
        <v>#N/A</v>
      </c>
    </row>
    <row r="10" spans="1:34">
      <c r="A10" t="s">
        <v>228</v>
      </c>
      <c r="B10">
        <v>10009</v>
      </c>
      <c r="C10" s="83">
        <v>1011.7900000000002</v>
      </c>
      <c r="D10" s="83">
        <v>97.409273321994505</v>
      </c>
      <c r="E10" s="83">
        <v>15.333850534525567</v>
      </c>
      <c r="F10">
        <v>3</v>
      </c>
      <c r="G10" s="83">
        <v>8.8116834298732201</v>
      </c>
      <c r="H10" s="83">
        <v>3.7922438442799997</v>
      </c>
      <c r="I10" s="83">
        <v>626.83000000000061</v>
      </c>
      <c r="J10" s="83">
        <v>1.5052829072908276</v>
      </c>
      <c r="K10" s="83">
        <v>12.819208241396582</v>
      </c>
      <c r="L10" s="83">
        <v>10.953372245445726</v>
      </c>
      <c r="M10" t="s">
        <v>156</v>
      </c>
      <c r="N10">
        <f>Vandgennemstrømning!$I$22</f>
        <v>0</v>
      </c>
      <c r="O10" t="e">
        <f t="shared" si="0"/>
        <v>#N/A</v>
      </c>
      <c r="P10" s="83" t="e">
        <f t="shared" si="1"/>
        <v>#N/A</v>
      </c>
      <c r="Q10" s="83" t="e">
        <f t="shared" si="2"/>
        <v>#N/A</v>
      </c>
      <c r="R10" s="83" t="e">
        <f t="shared" si="3"/>
        <v>#N/A</v>
      </c>
      <c r="S10" s="83" t="e">
        <f t="shared" si="4"/>
        <v>#N/A</v>
      </c>
      <c r="T10" s="83" t="e">
        <f t="shared" si="5"/>
        <v>#N/A</v>
      </c>
      <c r="U10" s="87" t="e">
        <f t="shared" si="6"/>
        <v>#N/A</v>
      </c>
      <c r="V10" s="83" t="e">
        <f t="shared" si="7"/>
        <v>#N/A</v>
      </c>
      <c r="W10" s="83" t="e">
        <f t="shared" si="8"/>
        <v>#N/A</v>
      </c>
      <c r="X10" s="83" t="e">
        <f t="shared" si="9"/>
        <v>#N/A</v>
      </c>
      <c r="Z10" t="s">
        <v>161</v>
      </c>
      <c r="AA10">
        <f>Vandgennemstrømning!L24</f>
        <v>0</v>
      </c>
      <c r="AB10" t="e">
        <f t="shared" si="10"/>
        <v>#N/A</v>
      </c>
      <c r="AC10" s="83" t="e">
        <f t="shared" si="11"/>
        <v>#N/A</v>
      </c>
      <c r="AD10" s="83" t="e">
        <f t="shared" si="12"/>
        <v>#N/A</v>
      </c>
      <c r="AE10" s="83" t="e">
        <f t="shared" si="13"/>
        <v>#N/A</v>
      </c>
      <c r="AF10" s="83" t="e">
        <f t="shared" si="14"/>
        <v>#N/A</v>
      </c>
      <c r="AG10" t="e">
        <f t="shared" si="15"/>
        <v>#N/A</v>
      </c>
    </row>
    <row r="11" spans="1:34">
      <c r="A11" t="s">
        <v>229</v>
      </c>
      <c r="B11">
        <v>10010</v>
      </c>
      <c r="C11" s="83">
        <v>1033.9300000000003</v>
      </c>
      <c r="D11" s="83">
        <v>98.603503585899873</v>
      </c>
      <c r="E11" s="83">
        <v>7.2556507605350928</v>
      </c>
      <c r="F11">
        <v>3</v>
      </c>
      <c r="G11" s="83">
        <v>5.0847330075627779</v>
      </c>
      <c r="H11" s="83">
        <v>3.0247049537499997</v>
      </c>
      <c r="I11" s="83">
        <v>626.83000000000061</v>
      </c>
      <c r="J11" s="83">
        <v>1.518746076010735</v>
      </c>
      <c r="K11" s="83">
        <v>19.324698000293697</v>
      </c>
      <c r="L11" s="83">
        <v>3.9467339031008373</v>
      </c>
      <c r="M11" t="s">
        <v>160</v>
      </c>
      <c r="N11">
        <f>Vandgennemstrømning!$J$22</f>
        <v>0</v>
      </c>
      <c r="O11" t="e">
        <f t="shared" si="0"/>
        <v>#N/A</v>
      </c>
      <c r="P11" s="83" t="e">
        <f t="shared" si="1"/>
        <v>#N/A</v>
      </c>
      <c r="Q11" s="83" t="e">
        <f t="shared" si="2"/>
        <v>#N/A</v>
      </c>
      <c r="R11" s="83" t="e">
        <f t="shared" si="3"/>
        <v>#N/A</v>
      </c>
      <c r="S11" s="83" t="e">
        <f t="shared" si="4"/>
        <v>#N/A</v>
      </c>
      <c r="T11" s="83" t="e">
        <f t="shared" si="5"/>
        <v>#N/A</v>
      </c>
      <c r="U11" s="87" t="e">
        <f t="shared" si="6"/>
        <v>#N/A</v>
      </c>
      <c r="V11" s="83" t="e">
        <f t="shared" si="7"/>
        <v>#N/A</v>
      </c>
      <c r="W11" s="83" t="e">
        <f t="shared" si="8"/>
        <v>#N/A</v>
      </c>
      <c r="X11" s="83" t="e">
        <f t="shared" si="9"/>
        <v>#N/A</v>
      </c>
      <c r="Z11" t="s">
        <v>162</v>
      </c>
      <c r="AA11">
        <f>Vandgennemstrømning!M23</f>
        <v>0</v>
      </c>
      <c r="AB11" t="e">
        <f t="shared" si="10"/>
        <v>#N/A</v>
      </c>
      <c r="AC11" s="83" t="e">
        <f t="shared" si="11"/>
        <v>#N/A</v>
      </c>
      <c r="AD11" s="83" t="e">
        <f t="shared" si="12"/>
        <v>#N/A</v>
      </c>
      <c r="AE11" s="83" t="e">
        <f t="shared" si="13"/>
        <v>#N/A</v>
      </c>
      <c r="AF11" s="83" t="e">
        <f t="shared" si="14"/>
        <v>#N/A</v>
      </c>
      <c r="AG11" t="e">
        <f t="shared" si="15"/>
        <v>#N/A</v>
      </c>
    </row>
    <row r="12" spans="1:34">
      <c r="A12" t="s">
        <v>230</v>
      </c>
      <c r="B12">
        <v>10011</v>
      </c>
      <c r="C12" s="83">
        <v>1052.6800000000003</v>
      </c>
      <c r="D12" s="83">
        <v>98.303516709250957</v>
      </c>
      <c r="E12" s="83">
        <v>4.5649674133075173</v>
      </c>
      <c r="F12">
        <v>3</v>
      </c>
      <c r="G12" s="83">
        <v>4.6550260321896824</v>
      </c>
      <c r="H12" s="83">
        <v>3.0014865026499997</v>
      </c>
      <c r="I12" s="83">
        <v>626.26000000000067</v>
      </c>
      <c r="J12" s="83">
        <v>0</v>
      </c>
      <c r="K12" s="83">
        <v>18.279743150247469</v>
      </c>
      <c r="L12" s="83">
        <v>2.6458680720188008</v>
      </c>
      <c r="M12" t="s">
        <v>30</v>
      </c>
      <c r="N12">
        <f>Vandgennemstrømning!$C$23</f>
        <v>0</v>
      </c>
      <c r="O12" t="e">
        <f t="shared" si="0"/>
        <v>#N/A</v>
      </c>
      <c r="P12" s="83" t="e">
        <f t="shared" si="1"/>
        <v>#N/A</v>
      </c>
      <c r="Q12" s="83" t="e">
        <f t="shared" si="2"/>
        <v>#N/A</v>
      </c>
      <c r="R12" s="83" t="e">
        <f t="shared" si="3"/>
        <v>#N/A</v>
      </c>
      <c r="S12" s="83" t="e">
        <f t="shared" si="4"/>
        <v>#N/A</v>
      </c>
      <c r="T12" s="83" t="e">
        <f t="shared" si="5"/>
        <v>#N/A</v>
      </c>
      <c r="U12" s="87" t="e">
        <f t="shared" si="6"/>
        <v>#N/A</v>
      </c>
      <c r="V12" s="83" t="e">
        <f t="shared" si="7"/>
        <v>#N/A</v>
      </c>
      <c r="W12" s="83" t="e">
        <f t="shared" si="8"/>
        <v>#N/A</v>
      </c>
      <c r="X12" s="83" t="e">
        <f t="shared" si="9"/>
        <v>#N/A</v>
      </c>
      <c r="Z12" t="s">
        <v>163</v>
      </c>
      <c r="AA12">
        <f>Vandgennemstrømning!N23</f>
        <v>0</v>
      </c>
      <c r="AB12" t="e">
        <f t="shared" si="10"/>
        <v>#N/A</v>
      </c>
      <c r="AC12" s="83" t="e">
        <f t="shared" si="11"/>
        <v>#N/A</v>
      </c>
      <c r="AD12" s="83" t="e">
        <f t="shared" si="12"/>
        <v>#N/A</v>
      </c>
      <c r="AE12" s="83" t="e">
        <f t="shared" si="13"/>
        <v>#N/A</v>
      </c>
      <c r="AF12" s="83" t="e">
        <f t="shared" si="14"/>
        <v>#N/A</v>
      </c>
      <c r="AG12" t="e">
        <f t="shared" si="15"/>
        <v>#N/A</v>
      </c>
    </row>
    <row r="13" spans="1:34">
      <c r="A13" t="s">
        <v>231</v>
      </c>
      <c r="B13">
        <v>10012</v>
      </c>
      <c r="C13" s="83">
        <v>1038.3200000000004</v>
      </c>
      <c r="D13" s="83">
        <v>98.970594123575864</v>
      </c>
      <c r="E13" s="83">
        <v>4.7053015390618178</v>
      </c>
      <c r="F13">
        <v>3</v>
      </c>
      <c r="G13" s="83">
        <v>5.6672144344136992</v>
      </c>
      <c r="H13" s="83">
        <v>1.5420911607899999</v>
      </c>
      <c r="I13" s="83">
        <v>626.26000000000067</v>
      </c>
      <c r="J13" s="83">
        <v>0</v>
      </c>
      <c r="K13" s="83">
        <v>10.10354600561563</v>
      </c>
      <c r="L13" s="83">
        <v>1.1958197797906602</v>
      </c>
      <c r="M13" t="s">
        <v>31</v>
      </c>
      <c r="N13">
        <f>Vandgennemstrømning!$D$23</f>
        <v>0</v>
      </c>
      <c r="O13" t="e">
        <f t="shared" si="0"/>
        <v>#N/A</v>
      </c>
      <c r="P13" s="83" t="e">
        <f t="shared" si="1"/>
        <v>#N/A</v>
      </c>
      <c r="Q13" s="83" t="e">
        <f t="shared" si="2"/>
        <v>#N/A</v>
      </c>
      <c r="R13" s="83" t="e">
        <f t="shared" si="3"/>
        <v>#N/A</v>
      </c>
      <c r="S13" s="83" t="e">
        <f t="shared" si="4"/>
        <v>#N/A</v>
      </c>
      <c r="T13" s="83" t="e">
        <f t="shared" si="5"/>
        <v>#N/A</v>
      </c>
      <c r="U13" s="87" t="e">
        <f t="shared" si="6"/>
        <v>#N/A</v>
      </c>
      <c r="V13" s="83" t="e">
        <f t="shared" si="7"/>
        <v>#N/A</v>
      </c>
      <c r="W13" s="83" t="e">
        <f t="shared" si="8"/>
        <v>#N/A</v>
      </c>
      <c r="X13" s="83" t="e">
        <f t="shared" si="9"/>
        <v>#N/A</v>
      </c>
    </row>
    <row r="14" spans="1:34">
      <c r="A14" t="s">
        <v>232</v>
      </c>
      <c r="B14">
        <v>10013</v>
      </c>
      <c r="C14" s="83">
        <v>1046.53</v>
      </c>
      <c r="D14" s="83">
        <v>92.865752743472257</v>
      </c>
      <c r="E14" s="83">
        <v>4.6096098103850398</v>
      </c>
      <c r="F14">
        <v>3</v>
      </c>
      <c r="G14" s="83">
        <v>10.493034325432312</v>
      </c>
      <c r="H14" s="83">
        <v>2.6858414598299998</v>
      </c>
      <c r="I14" s="83">
        <v>641.26000000000079</v>
      </c>
      <c r="J14" s="83">
        <v>0</v>
      </c>
      <c r="K14" s="83">
        <v>9.9953345031196346</v>
      </c>
      <c r="L14" s="83">
        <v>1.9476724494661208</v>
      </c>
      <c r="M14" t="s">
        <v>152</v>
      </c>
      <c r="N14">
        <f>Vandgennemstrømning!$E$23</f>
        <v>0</v>
      </c>
      <c r="O14" t="e">
        <f t="shared" si="0"/>
        <v>#N/A</v>
      </c>
      <c r="P14" s="83" t="e">
        <f t="shared" si="1"/>
        <v>#N/A</v>
      </c>
      <c r="Q14" s="83" t="e">
        <f t="shared" si="2"/>
        <v>#N/A</v>
      </c>
      <c r="R14" s="83" t="e">
        <f t="shared" si="3"/>
        <v>#N/A</v>
      </c>
      <c r="S14" s="83" t="e">
        <f t="shared" si="4"/>
        <v>#N/A</v>
      </c>
      <c r="T14" s="83" t="e">
        <f t="shared" si="5"/>
        <v>#N/A</v>
      </c>
      <c r="U14" s="87" t="e">
        <f t="shared" si="6"/>
        <v>#N/A</v>
      </c>
      <c r="V14" s="83" t="e">
        <f t="shared" si="7"/>
        <v>#N/A</v>
      </c>
      <c r="W14" s="83" t="e">
        <f t="shared" si="8"/>
        <v>#N/A</v>
      </c>
      <c r="X14" s="83" t="e">
        <f t="shared" si="9"/>
        <v>#N/A</v>
      </c>
      <c r="AA14" t="s">
        <v>157</v>
      </c>
      <c r="AC14" s="83">
        <f t="array" ref="AC14">AVERAGE(IF(ISERROR(AC4:AC12),"",AC4:AC12))</f>
        <v>859.89000000000033</v>
      </c>
      <c r="AD14" s="83">
        <f t="array" ref="AD14">AVERAGE(IF(ISERROR(AD4:AD12),"",AD4:AD12))</f>
        <v>599.72000000000071</v>
      </c>
      <c r="AE14" s="83">
        <f t="array" ref="AE14">AVERAGE(IF(ISERROR(AE4:AE12),"",AE4:AE12))</f>
        <v>7.9615153842599993</v>
      </c>
      <c r="AF14" s="83">
        <f t="array" ref="AF14">AVERAGE(IF(ISERROR(AF4:AF12),"",AF4:AF12))</f>
        <v>11.423500366764568</v>
      </c>
      <c r="AG14" s="87">
        <f t="array" ref="AG14">IFERROR(MODE(IF(ISERROR(AG4:AG12),"",AG4:AG12)),INDEX(AG4:AG12,MATCH(TRUE,ISNUMBER(AG4:AG12),0)))</f>
        <v>6</v>
      </c>
      <c r="AH14" t="s">
        <v>200</v>
      </c>
    </row>
    <row r="15" spans="1:34">
      <c r="A15" t="s">
        <v>233</v>
      </c>
      <c r="B15">
        <v>10014</v>
      </c>
      <c r="C15" s="83">
        <v>1016.7400000000004</v>
      </c>
      <c r="D15" s="83">
        <v>99.692964550530405</v>
      </c>
      <c r="E15" s="83">
        <v>0</v>
      </c>
      <c r="F15">
        <v>1</v>
      </c>
      <c r="G15" s="83">
        <v>0</v>
      </c>
      <c r="H15" s="83">
        <v>1.5924050596699999</v>
      </c>
      <c r="I15" s="83">
        <v>607.3500000000007</v>
      </c>
      <c r="J15" s="83">
        <v>0</v>
      </c>
      <c r="K15" s="83">
        <v>0</v>
      </c>
      <c r="L15" s="83">
        <v>0</v>
      </c>
      <c r="M15" t="s">
        <v>153</v>
      </c>
      <c r="N15">
        <f>Vandgennemstrømning!$F$23</f>
        <v>0</v>
      </c>
      <c r="O15" t="e">
        <f t="shared" si="0"/>
        <v>#N/A</v>
      </c>
      <c r="P15" s="83" t="e">
        <f t="shared" si="1"/>
        <v>#N/A</v>
      </c>
      <c r="Q15" s="83" t="e">
        <f t="shared" si="2"/>
        <v>#N/A</v>
      </c>
      <c r="R15" s="83" t="e">
        <f t="shared" si="3"/>
        <v>#N/A</v>
      </c>
      <c r="S15" s="83" t="e">
        <f t="shared" si="4"/>
        <v>#N/A</v>
      </c>
      <c r="T15" s="83" t="e">
        <f t="shared" si="5"/>
        <v>#N/A</v>
      </c>
      <c r="U15" s="87" t="e">
        <f t="shared" si="6"/>
        <v>#N/A</v>
      </c>
      <c r="V15" s="83" t="e">
        <f t="shared" si="7"/>
        <v>#N/A</v>
      </c>
      <c r="W15" s="83" t="e">
        <f t="shared" si="8"/>
        <v>#N/A</v>
      </c>
      <c r="X15" s="83" t="e">
        <f t="shared" si="9"/>
        <v>#N/A</v>
      </c>
    </row>
    <row r="16" spans="1:34">
      <c r="A16" t="s">
        <v>234</v>
      </c>
      <c r="B16">
        <v>10015</v>
      </c>
      <c r="C16" s="83">
        <v>987.1500000000002</v>
      </c>
      <c r="D16" s="83">
        <v>98.011979505765922</v>
      </c>
      <c r="E16" s="83">
        <v>7.9752638666745368E-2</v>
      </c>
      <c r="F16">
        <v>1</v>
      </c>
      <c r="G16" s="83">
        <v>2.649231159572401</v>
      </c>
      <c r="H16" s="83">
        <v>1.6542131248999998</v>
      </c>
      <c r="I16" s="83">
        <v>607.3500000000007</v>
      </c>
      <c r="J16" s="83">
        <v>0</v>
      </c>
      <c r="K16" s="83">
        <v>9.1471467486325402</v>
      </c>
      <c r="L16" s="83">
        <v>0.13583993613378831</v>
      </c>
      <c r="M16" t="s">
        <v>154</v>
      </c>
      <c r="N16">
        <f>Vandgennemstrømning!$G$23</f>
        <v>0</v>
      </c>
      <c r="O16" t="e">
        <f t="shared" si="0"/>
        <v>#N/A</v>
      </c>
      <c r="P16" s="83" t="e">
        <f t="shared" si="1"/>
        <v>#N/A</v>
      </c>
      <c r="Q16" s="83" t="e">
        <f t="shared" si="2"/>
        <v>#N/A</v>
      </c>
      <c r="R16" s="83" t="e">
        <f t="shared" si="3"/>
        <v>#N/A</v>
      </c>
      <c r="S16" s="83" t="e">
        <f t="shared" si="4"/>
        <v>#N/A</v>
      </c>
      <c r="T16" s="83" t="e">
        <f t="shared" si="5"/>
        <v>#N/A</v>
      </c>
      <c r="U16" s="87" t="e">
        <f t="shared" si="6"/>
        <v>#N/A</v>
      </c>
      <c r="V16" s="83" t="e">
        <f t="shared" si="7"/>
        <v>#N/A</v>
      </c>
      <c r="W16" s="83" t="e">
        <f t="shared" si="8"/>
        <v>#N/A</v>
      </c>
      <c r="X16" s="83" t="e">
        <f t="shared" si="9"/>
        <v>#N/A</v>
      </c>
    </row>
    <row r="17" spans="1:24">
      <c r="A17" t="s">
        <v>235</v>
      </c>
      <c r="B17">
        <v>10016</v>
      </c>
      <c r="C17" s="83">
        <v>950.55000000000018</v>
      </c>
      <c r="D17" s="83">
        <v>73.050955438751529</v>
      </c>
      <c r="E17" s="83">
        <v>40.134487529793056</v>
      </c>
      <c r="F17">
        <v>1</v>
      </c>
      <c r="G17" s="83">
        <v>7.4211024360610622</v>
      </c>
      <c r="H17" s="83">
        <v>5.2325972195499997</v>
      </c>
      <c r="I17" s="83">
        <v>610.41000000000076</v>
      </c>
      <c r="J17" s="83">
        <v>39.075558821878879</v>
      </c>
      <c r="K17" s="83">
        <v>8.0481453509058394</v>
      </c>
      <c r="L17" s="83">
        <v>36.370106326047747</v>
      </c>
      <c r="M17" t="s">
        <v>155</v>
      </c>
      <c r="N17">
        <f>Vandgennemstrømning!$H$23</f>
        <v>0</v>
      </c>
      <c r="O17" t="e">
        <f t="shared" si="0"/>
        <v>#N/A</v>
      </c>
      <c r="P17" s="83" t="e">
        <f t="shared" si="1"/>
        <v>#N/A</v>
      </c>
      <c r="Q17" s="83" t="e">
        <f t="shared" si="2"/>
        <v>#N/A</v>
      </c>
      <c r="R17" s="83" t="e">
        <f t="shared" si="3"/>
        <v>#N/A</v>
      </c>
      <c r="S17" s="83" t="e">
        <f t="shared" si="4"/>
        <v>#N/A</v>
      </c>
      <c r="T17" s="83" t="e">
        <f t="shared" si="5"/>
        <v>#N/A</v>
      </c>
      <c r="U17" s="87" t="e">
        <f t="shared" si="6"/>
        <v>#N/A</v>
      </c>
      <c r="V17" s="83" t="e">
        <f t="shared" si="7"/>
        <v>#N/A</v>
      </c>
      <c r="W17" s="83" t="e">
        <f t="shared" si="8"/>
        <v>#N/A</v>
      </c>
      <c r="X17" s="83" t="e">
        <f t="shared" si="9"/>
        <v>#N/A</v>
      </c>
    </row>
    <row r="18" spans="1:24">
      <c r="A18" t="s">
        <v>236</v>
      </c>
      <c r="B18">
        <v>10017</v>
      </c>
      <c r="C18" s="83">
        <v>928.85000000000036</v>
      </c>
      <c r="D18" s="83">
        <v>41.114338493395593</v>
      </c>
      <c r="E18" s="83">
        <v>40.662172836454708</v>
      </c>
      <c r="F18">
        <v>1</v>
      </c>
      <c r="G18" s="83">
        <v>11.208161416423739</v>
      </c>
      <c r="H18" s="83">
        <v>7.6429707201599992</v>
      </c>
      <c r="I18" s="83">
        <v>610.41000000000076</v>
      </c>
      <c r="J18" s="83">
        <v>35.315400638115065</v>
      </c>
      <c r="K18" s="83">
        <v>22.07769534814819</v>
      </c>
      <c r="L18" s="83">
        <v>35.913219632451501</v>
      </c>
      <c r="M18" t="s">
        <v>156</v>
      </c>
      <c r="N18">
        <f>Vandgennemstrømning!$I$23</f>
        <v>0</v>
      </c>
      <c r="O18" t="e">
        <f t="shared" si="0"/>
        <v>#N/A</v>
      </c>
      <c r="P18" s="83" t="e">
        <f t="shared" si="1"/>
        <v>#N/A</v>
      </c>
      <c r="Q18" s="83" t="e">
        <f t="shared" si="2"/>
        <v>#N/A</v>
      </c>
      <c r="R18" s="83" t="e">
        <f t="shared" si="3"/>
        <v>#N/A</v>
      </c>
      <c r="S18" s="83" t="e">
        <f t="shared" si="4"/>
        <v>#N/A</v>
      </c>
      <c r="T18" s="83" t="e">
        <f t="shared" si="5"/>
        <v>#N/A</v>
      </c>
      <c r="U18" s="87" t="e">
        <f t="shared" si="6"/>
        <v>#N/A</v>
      </c>
      <c r="V18" s="83" t="e">
        <f t="shared" si="7"/>
        <v>#N/A</v>
      </c>
      <c r="W18" s="83" t="e">
        <f t="shared" si="8"/>
        <v>#N/A</v>
      </c>
      <c r="X18" s="83" t="e">
        <f t="shared" si="9"/>
        <v>#N/A</v>
      </c>
    </row>
    <row r="19" spans="1:24">
      <c r="A19" t="s">
        <v>237</v>
      </c>
      <c r="B19">
        <v>10018</v>
      </c>
      <c r="C19" s="83">
        <v>967.10000000000014</v>
      </c>
      <c r="D19" s="83">
        <v>35.107529806779539</v>
      </c>
      <c r="E19" s="83">
        <v>64.723944276086868</v>
      </c>
      <c r="F19">
        <v>1</v>
      </c>
      <c r="G19" s="83">
        <v>8.974705845233494</v>
      </c>
      <c r="H19" s="83">
        <v>7.8260188175499996</v>
      </c>
      <c r="I19" s="83">
        <v>614.87000000000069</v>
      </c>
      <c r="J19" s="83">
        <v>3.4090375455809325</v>
      </c>
      <c r="K19" s="83">
        <v>7.6268184272383017</v>
      </c>
      <c r="L19" s="83">
        <v>66.084040677591076</v>
      </c>
      <c r="M19" t="s">
        <v>160</v>
      </c>
      <c r="N19">
        <f>Vandgennemstrømning!$J$23</f>
        <v>0</v>
      </c>
      <c r="O19" t="e">
        <f t="shared" si="0"/>
        <v>#N/A</v>
      </c>
      <c r="P19" s="83" t="e">
        <f t="shared" si="1"/>
        <v>#N/A</v>
      </c>
      <c r="Q19" s="83" t="e">
        <f t="shared" si="2"/>
        <v>#N/A</v>
      </c>
      <c r="R19" s="83" t="e">
        <f t="shared" si="3"/>
        <v>#N/A</v>
      </c>
      <c r="S19" s="83" t="e">
        <f t="shared" si="4"/>
        <v>#N/A</v>
      </c>
      <c r="T19" s="83" t="e">
        <f t="shared" si="5"/>
        <v>#N/A</v>
      </c>
      <c r="U19" s="87" t="e">
        <f t="shared" si="6"/>
        <v>#N/A</v>
      </c>
      <c r="V19" s="83" t="e">
        <f t="shared" si="7"/>
        <v>#N/A</v>
      </c>
      <c r="W19" s="83" t="e">
        <f t="shared" si="8"/>
        <v>#N/A</v>
      </c>
      <c r="X19" s="83" t="e">
        <f t="shared" si="9"/>
        <v>#N/A</v>
      </c>
    </row>
    <row r="20" spans="1:24">
      <c r="A20" t="s">
        <v>238</v>
      </c>
      <c r="B20">
        <v>10019</v>
      </c>
      <c r="C20" s="83">
        <v>1010.3000000000005</v>
      </c>
      <c r="D20" s="83">
        <v>30.43326177037833</v>
      </c>
      <c r="E20" s="83">
        <v>70.514773604026487</v>
      </c>
      <c r="F20">
        <v>1</v>
      </c>
      <c r="G20" s="83">
        <v>11.481847430535828</v>
      </c>
      <c r="H20" s="83">
        <v>10.302721522500001</v>
      </c>
      <c r="I20" s="83">
        <v>614.87000000000069</v>
      </c>
      <c r="J20" s="83">
        <v>2.6204551387000632</v>
      </c>
      <c r="K20" s="83">
        <v>1.5207144943815749</v>
      </c>
      <c r="L20" s="83">
        <v>71.487692052462052</v>
      </c>
      <c r="M20" t="s">
        <v>30</v>
      </c>
      <c r="N20">
        <f>Vandgennemstrømning!$C$24</f>
        <v>0</v>
      </c>
      <c r="O20" t="e">
        <f t="shared" si="0"/>
        <v>#N/A</v>
      </c>
      <c r="P20" s="83" t="e">
        <f t="shared" si="1"/>
        <v>#N/A</v>
      </c>
      <c r="Q20" s="83" t="e">
        <f t="shared" si="2"/>
        <v>#N/A</v>
      </c>
      <c r="R20" s="83" t="e">
        <f t="shared" si="3"/>
        <v>#N/A</v>
      </c>
      <c r="S20" s="83" t="e">
        <f t="shared" si="4"/>
        <v>#N/A</v>
      </c>
      <c r="T20" s="83" t="e">
        <f t="shared" si="5"/>
        <v>#N/A</v>
      </c>
      <c r="U20" s="87" t="e">
        <f t="shared" si="6"/>
        <v>#N/A</v>
      </c>
      <c r="V20" s="83" t="e">
        <f t="shared" si="7"/>
        <v>#N/A</v>
      </c>
      <c r="W20" s="83" t="e">
        <f t="shared" si="8"/>
        <v>#N/A</v>
      </c>
      <c r="X20" s="83" t="e">
        <f t="shared" si="9"/>
        <v>#N/A</v>
      </c>
    </row>
    <row r="21" spans="1:24">
      <c r="A21" t="s">
        <v>239</v>
      </c>
      <c r="B21">
        <v>10020</v>
      </c>
      <c r="C21" s="83">
        <v>1039.1700000000005</v>
      </c>
      <c r="D21" s="83">
        <v>86.737385673666438</v>
      </c>
      <c r="E21" s="83">
        <v>62.169694775258435</v>
      </c>
      <c r="F21">
        <v>3</v>
      </c>
      <c r="G21" s="83">
        <v>6.4463000573891547</v>
      </c>
      <c r="H21" s="83">
        <v>4.3676030246900002</v>
      </c>
      <c r="I21" s="83">
        <v>615.05000000000086</v>
      </c>
      <c r="J21" s="83">
        <v>2.7368316886221393</v>
      </c>
      <c r="K21" s="83">
        <v>4.3740001312200034</v>
      </c>
      <c r="L21" s="83">
        <v>61.282400184472138</v>
      </c>
      <c r="M21" t="s">
        <v>31</v>
      </c>
      <c r="N21">
        <f>Vandgennemstrømning!$D$24</f>
        <v>0</v>
      </c>
      <c r="O21" t="e">
        <f t="shared" si="0"/>
        <v>#N/A</v>
      </c>
      <c r="P21" s="83" t="e">
        <f t="shared" si="1"/>
        <v>#N/A</v>
      </c>
      <c r="Q21" s="83" t="e">
        <f t="shared" si="2"/>
        <v>#N/A</v>
      </c>
      <c r="R21" s="83" t="e">
        <f t="shared" si="3"/>
        <v>#N/A</v>
      </c>
      <c r="S21" s="83" t="e">
        <f t="shared" si="4"/>
        <v>#N/A</v>
      </c>
      <c r="T21" s="83" t="e">
        <f t="shared" si="5"/>
        <v>#N/A</v>
      </c>
      <c r="U21" s="87" t="e">
        <f t="shared" si="6"/>
        <v>#N/A</v>
      </c>
      <c r="V21" s="83" t="e">
        <f t="shared" si="7"/>
        <v>#N/A</v>
      </c>
      <c r="W21" s="83" t="e">
        <f t="shared" si="8"/>
        <v>#N/A</v>
      </c>
      <c r="X21" s="83" t="e">
        <f t="shared" si="9"/>
        <v>#N/A</v>
      </c>
    </row>
    <row r="22" spans="1:24">
      <c r="A22" t="s">
        <v>240</v>
      </c>
      <c r="B22">
        <v>10021</v>
      </c>
      <c r="C22" s="83">
        <v>1045.7900000000004</v>
      </c>
      <c r="D22" s="83">
        <v>85.129846585855105</v>
      </c>
      <c r="E22" s="83">
        <v>60.242451473005083</v>
      </c>
      <c r="F22">
        <v>3</v>
      </c>
      <c r="G22" s="83">
        <v>8.4757683316615022</v>
      </c>
      <c r="H22" s="83">
        <v>4.2841537942999999</v>
      </c>
      <c r="I22" s="83">
        <v>615.05000000000086</v>
      </c>
      <c r="J22" s="83">
        <v>0.19384646233481442</v>
      </c>
      <c r="K22" s="83">
        <v>9.1922100253491816</v>
      </c>
      <c r="L22" s="83">
        <v>62.644571927051437</v>
      </c>
      <c r="M22" t="s">
        <v>152</v>
      </c>
      <c r="N22">
        <f>Vandgennemstrømning!$E$24</f>
        <v>0</v>
      </c>
      <c r="O22" t="e">
        <f t="shared" si="0"/>
        <v>#N/A</v>
      </c>
      <c r="P22" s="83" t="e">
        <f t="shared" si="1"/>
        <v>#N/A</v>
      </c>
      <c r="Q22" s="83" t="e">
        <f t="shared" si="2"/>
        <v>#N/A</v>
      </c>
      <c r="R22" s="83" t="e">
        <f t="shared" si="3"/>
        <v>#N/A</v>
      </c>
      <c r="S22" s="83" t="e">
        <f t="shared" si="4"/>
        <v>#N/A</v>
      </c>
      <c r="T22" s="83" t="e">
        <f t="shared" si="5"/>
        <v>#N/A</v>
      </c>
      <c r="U22" s="87" t="e">
        <f t="shared" si="6"/>
        <v>#N/A</v>
      </c>
      <c r="V22" s="83" t="e">
        <f t="shared" si="7"/>
        <v>#N/A</v>
      </c>
      <c r="W22" s="83" t="e">
        <f t="shared" si="8"/>
        <v>#N/A</v>
      </c>
      <c r="X22" s="83" t="e">
        <f t="shared" si="9"/>
        <v>#N/A</v>
      </c>
    </row>
    <row r="23" spans="1:24">
      <c r="A23" t="s">
        <v>241</v>
      </c>
      <c r="B23">
        <v>10022</v>
      </c>
      <c r="C23" s="83">
        <v>1043.4900000000005</v>
      </c>
      <c r="D23" s="83">
        <v>75.375377246413962</v>
      </c>
      <c r="E23" s="83">
        <v>63.618009532280851</v>
      </c>
      <c r="F23">
        <v>3</v>
      </c>
      <c r="G23" s="83">
        <v>9.296668027909698</v>
      </c>
      <c r="H23" s="83">
        <v>5.7896005953499996</v>
      </c>
      <c r="I23" s="83">
        <v>620.17000000000064</v>
      </c>
      <c r="J23" s="83">
        <v>4.2272486169884313E-2</v>
      </c>
      <c r="K23" s="83">
        <v>3.2589289611788308</v>
      </c>
      <c r="L23" s="83">
        <v>65.994982057947951</v>
      </c>
      <c r="M23" t="s">
        <v>153</v>
      </c>
      <c r="N23">
        <f>Vandgennemstrømning!$F$24</f>
        <v>0</v>
      </c>
      <c r="O23" t="e">
        <f t="shared" si="0"/>
        <v>#N/A</v>
      </c>
      <c r="P23" s="83" t="e">
        <f t="shared" si="1"/>
        <v>#N/A</v>
      </c>
      <c r="Q23" s="83" t="e">
        <f t="shared" si="2"/>
        <v>#N/A</v>
      </c>
      <c r="R23" s="83" t="e">
        <f t="shared" si="3"/>
        <v>#N/A</v>
      </c>
      <c r="S23" s="83" t="e">
        <f t="shared" si="4"/>
        <v>#N/A</v>
      </c>
      <c r="T23" s="83" t="e">
        <f t="shared" si="5"/>
        <v>#N/A</v>
      </c>
      <c r="U23" s="87" t="e">
        <f t="shared" si="6"/>
        <v>#N/A</v>
      </c>
      <c r="V23" s="83" t="e">
        <f t="shared" si="7"/>
        <v>#N/A</v>
      </c>
      <c r="W23" s="83" t="e">
        <f t="shared" si="8"/>
        <v>#N/A</v>
      </c>
      <c r="X23" s="83" t="e">
        <f t="shared" si="9"/>
        <v>#N/A</v>
      </c>
    </row>
    <row r="24" spans="1:24">
      <c r="A24" t="s">
        <v>242</v>
      </c>
      <c r="B24">
        <v>10023</v>
      </c>
      <c r="C24" s="83">
        <v>1064.3500000000001</v>
      </c>
      <c r="D24" s="83">
        <v>66.440408113574335</v>
      </c>
      <c r="E24" s="83">
        <v>60.856706266681599</v>
      </c>
      <c r="F24">
        <v>3</v>
      </c>
      <c r="G24" s="83">
        <v>7.2762000989996745</v>
      </c>
      <c r="H24" s="83">
        <v>6.2287228107599999</v>
      </c>
      <c r="I24" s="83">
        <v>620.17000000000064</v>
      </c>
      <c r="J24" s="83">
        <v>0.13680467923724834</v>
      </c>
      <c r="K24" s="83">
        <v>4.4457000000000004</v>
      </c>
      <c r="L24" s="83">
        <v>61.729700380999418</v>
      </c>
      <c r="M24" t="s">
        <v>154</v>
      </c>
      <c r="N24">
        <f>Vandgennemstrømning!$G$24</f>
        <v>0</v>
      </c>
      <c r="O24" t="e">
        <f t="shared" si="0"/>
        <v>#N/A</v>
      </c>
      <c r="P24" s="83" t="e">
        <f t="shared" si="1"/>
        <v>#N/A</v>
      </c>
      <c r="Q24" s="83" t="e">
        <f t="shared" si="2"/>
        <v>#N/A</v>
      </c>
      <c r="R24" s="83" t="e">
        <f t="shared" si="3"/>
        <v>#N/A</v>
      </c>
      <c r="S24" s="83" t="e">
        <f t="shared" si="4"/>
        <v>#N/A</v>
      </c>
      <c r="T24" s="83" t="e">
        <f t="shared" si="5"/>
        <v>#N/A</v>
      </c>
      <c r="U24" s="87" t="e">
        <f t="shared" si="6"/>
        <v>#N/A</v>
      </c>
      <c r="V24" s="83" t="e">
        <f t="shared" si="7"/>
        <v>#N/A</v>
      </c>
      <c r="W24" s="83" t="e">
        <f t="shared" si="8"/>
        <v>#N/A</v>
      </c>
      <c r="X24" s="83" t="e">
        <f t="shared" si="9"/>
        <v>#N/A</v>
      </c>
    </row>
    <row r="25" spans="1:24">
      <c r="A25" t="s">
        <v>243</v>
      </c>
      <c r="B25">
        <v>10024</v>
      </c>
      <c r="C25" s="83">
        <v>1049.4200000000005</v>
      </c>
      <c r="D25" s="83">
        <v>72.538251891817026</v>
      </c>
      <c r="E25" s="83">
        <v>59.273339919618564</v>
      </c>
      <c r="F25">
        <v>3</v>
      </c>
      <c r="G25" s="83">
        <v>18.861748541502291</v>
      </c>
      <c r="H25" s="83">
        <v>5.4682916750899997</v>
      </c>
      <c r="I25" s="83">
        <v>628.91000000000054</v>
      </c>
      <c r="J25" s="83">
        <v>0.29605297489606319</v>
      </c>
      <c r="K25" s="83">
        <v>4.0646000267577573</v>
      </c>
      <c r="L25" s="83">
        <v>62.280463708787906</v>
      </c>
      <c r="M25" t="s">
        <v>155</v>
      </c>
      <c r="N25">
        <f>Vandgennemstrømning!$H$24</f>
        <v>0</v>
      </c>
      <c r="O25" t="e">
        <f t="shared" si="0"/>
        <v>#N/A</v>
      </c>
      <c r="P25" s="83" t="e">
        <f t="shared" si="1"/>
        <v>#N/A</v>
      </c>
      <c r="Q25" s="83" t="e">
        <f t="shared" si="2"/>
        <v>#N/A</v>
      </c>
      <c r="R25" s="83" t="e">
        <f t="shared" si="3"/>
        <v>#N/A</v>
      </c>
      <c r="S25" s="83" t="e">
        <f t="shared" si="4"/>
        <v>#N/A</v>
      </c>
      <c r="T25" s="83" t="e">
        <f t="shared" si="5"/>
        <v>#N/A</v>
      </c>
      <c r="U25" s="87" t="e">
        <f t="shared" si="6"/>
        <v>#N/A</v>
      </c>
      <c r="V25" s="83" t="e">
        <f t="shared" si="7"/>
        <v>#N/A</v>
      </c>
      <c r="W25" s="83" t="e">
        <f t="shared" si="8"/>
        <v>#N/A</v>
      </c>
      <c r="X25" s="83" t="e">
        <f t="shared" si="9"/>
        <v>#N/A</v>
      </c>
    </row>
    <row r="26" spans="1:24">
      <c r="A26" t="s">
        <v>244</v>
      </c>
      <c r="B26">
        <v>10025</v>
      </c>
      <c r="C26" s="83">
        <v>1022.1300000000005</v>
      </c>
      <c r="D26" s="83">
        <v>66.546815851443938</v>
      </c>
      <c r="E26" s="83">
        <v>66.870430691270016</v>
      </c>
      <c r="F26">
        <v>3</v>
      </c>
      <c r="G26" s="83">
        <v>10.448914010544001</v>
      </c>
      <c r="H26" s="83">
        <v>6.5239598607699998</v>
      </c>
      <c r="I26" s="83">
        <v>628.91000000000054</v>
      </c>
      <c r="J26" s="83">
        <v>0</v>
      </c>
      <c r="K26" s="83">
        <v>18.429973582726006</v>
      </c>
      <c r="L26" s="83">
        <v>68.214941789349339</v>
      </c>
      <c r="M26" t="s">
        <v>156</v>
      </c>
      <c r="N26">
        <f>Vandgennemstrømning!$I$24</f>
        <v>0</v>
      </c>
      <c r="O26" t="e">
        <f t="shared" si="0"/>
        <v>#N/A</v>
      </c>
      <c r="P26" s="83" t="e">
        <f t="shared" si="1"/>
        <v>#N/A</v>
      </c>
      <c r="Q26" s="83" t="e">
        <f t="shared" si="2"/>
        <v>#N/A</v>
      </c>
      <c r="R26" s="83" t="e">
        <f t="shared" si="3"/>
        <v>#N/A</v>
      </c>
      <c r="S26" s="83" t="e">
        <f t="shared" si="4"/>
        <v>#N/A</v>
      </c>
      <c r="T26" s="83" t="e">
        <f t="shared" si="5"/>
        <v>#N/A</v>
      </c>
      <c r="U26" s="87" t="e">
        <f t="shared" si="6"/>
        <v>#N/A</v>
      </c>
      <c r="V26" s="83" t="e">
        <f t="shared" si="7"/>
        <v>#N/A</v>
      </c>
      <c r="W26" s="83" t="e">
        <f t="shared" si="8"/>
        <v>#N/A</v>
      </c>
      <c r="X26" s="83" t="e">
        <f t="shared" si="9"/>
        <v>#N/A</v>
      </c>
    </row>
    <row r="27" spans="1:24">
      <c r="A27" t="s">
        <v>245</v>
      </c>
      <c r="B27">
        <v>10026</v>
      </c>
      <c r="C27" s="83">
        <v>1019.6300000000001</v>
      </c>
      <c r="D27" s="83">
        <v>34.40383313476331</v>
      </c>
      <c r="E27" s="83">
        <v>61.792324933337952</v>
      </c>
      <c r="F27">
        <v>3</v>
      </c>
      <c r="G27" s="83">
        <v>5.6790747696314519</v>
      </c>
      <c r="H27" s="83">
        <v>16.6643880723</v>
      </c>
      <c r="I27" s="83">
        <v>626.83000000000061</v>
      </c>
      <c r="J27" s="83">
        <v>1.8471611948625757</v>
      </c>
      <c r="K27" s="83">
        <v>84.441550207405641</v>
      </c>
      <c r="L27" s="83">
        <v>30.745867908756651</v>
      </c>
      <c r="M27" t="s">
        <v>160</v>
      </c>
      <c r="N27">
        <f>Vandgennemstrømning!$J$24</f>
        <v>0</v>
      </c>
      <c r="O27" t="e">
        <f t="shared" si="0"/>
        <v>#N/A</v>
      </c>
      <c r="P27" s="83" t="e">
        <f t="shared" si="1"/>
        <v>#N/A</v>
      </c>
      <c r="Q27" s="83" t="e">
        <f t="shared" si="2"/>
        <v>#N/A</v>
      </c>
      <c r="R27" s="83" t="e">
        <f t="shared" si="3"/>
        <v>#N/A</v>
      </c>
      <c r="S27" s="83" t="e">
        <f t="shared" si="4"/>
        <v>#N/A</v>
      </c>
      <c r="T27" s="83" t="e">
        <f t="shared" si="5"/>
        <v>#N/A</v>
      </c>
      <c r="U27" s="87" t="e">
        <f t="shared" si="6"/>
        <v>#N/A</v>
      </c>
      <c r="V27" s="83" t="e">
        <f t="shared" si="7"/>
        <v>#N/A</v>
      </c>
      <c r="W27" s="83" t="e">
        <f t="shared" si="8"/>
        <v>#N/A</v>
      </c>
      <c r="X27" s="83" t="e">
        <f t="shared" si="9"/>
        <v>#N/A</v>
      </c>
    </row>
    <row r="28" spans="1:24">
      <c r="A28" t="s">
        <v>246</v>
      </c>
      <c r="B28">
        <v>10027</v>
      </c>
      <c r="C28" s="83">
        <v>1042.28</v>
      </c>
      <c r="D28" s="83">
        <v>79.165621486968234</v>
      </c>
      <c r="E28" s="83">
        <v>61.294521091212921</v>
      </c>
      <c r="F28">
        <v>3</v>
      </c>
      <c r="G28" s="83">
        <v>12.515490752980753</v>
      </c>
      <c r="H28" s="83">
        <v>7.3034616251099997</v>
      </c>
      <c r="I28" s="83">
        <v>626.83000000000061</v>
      </c>
      <c r="J28" s="83">
        <v>2.8064707373980804</v>
      </c>
      <c r="K28" s="83">
        <v>4.3840083820791707</v>
      </c>
      <c r="L28" s="83">
        <v>59.675603964780862</v>
      </c>
    </row>
    <row r="29" spans="1:24">
      <c r="A29" t="s">
        <v>247</v>
      </c>
      <c r="B29">
        <v>10028</v>
      </c>
      <c r="C29" s="83">
        <v>1060.73</v>
      </c>
      <c r="D29" s="83">
        <v>87.318314452613791</v>
      </c>
      <c r="E29" s="83">
        <v>60.986675734993121</v>
      </c>
      <c r="F29">
        <v>3</v>
      </c>
      <c r="G29" s="83">
        <v>7.2316998562683468</v>
      </c>
      <c r="H29" s="83">
        <v>4.5229621422299999</v>
      </c>
      <c r="I29" s="83">
        <v>626.26000000000067</v>
      </c>
      <c r="J29" s="83">
        <v>30.312336418587599</v>
      </c>
      <c r="K29" s="83">
        <v>8.9391003575640138</v>
      </c>
      <c r="L29" s="83">
        <v>51.800999500040298</v>
      </c>
      <c r="O29" t="s">
        <v>157</v>
      </c>
      <c r="P29" s="83">
        <f t="array" ref="P29">AVERAGE(IF(ISERROR(P4:P27),"",P4:P27))</f>
        <v>859.89000000000033</v>
      </c>
      <c r="Q29" s="83">
        <f t="array" ref="Q29">AVERAGE(IF(ISERROR(Q4:Q27),"",Q4:Q27))</f>
        <v>599.72000000000071</v>
      </c>
      <c r="R29" s="83">
        <f t="array" ref="R29">AVERAGE(IF(ISERROR(R4:R27),"",R4:R27))</f>
        <v>7.9615153842599993</v>
      </c>
      <c r="S29" s="83">
        <f t="array" ref="S29">AVERAGE(IF(ISERROR(S4:S27),"",S4:S27))</f>
        <v>45.490047304634494</v>
      </c>
      <c r="T29" s="83">
        <f t="array" ref="T29">AVERAGE(IF(ISERROR(T4:T27),"",T4:T27))</f>
        <v>11.423500366764568</v>
      </c>
      <c r="U29" s="87">
        <f t="array" ref="U29">IFERROR(MODE(IF(ISERROR(U4:U27),"",U4:U27)),INDEX(U4:U27,MATCH(TRUE,ISNUMBER(U4:U27),0)))</f>
        <v>6</v>
      </c>
      <c r="V29" s="83">
        <f t="array" ref="V29">AVERAGE(IF(ISERROR(V4:V27),"",V4:V27))</f>
        <v>27.565288617467328</v>
      </c>
      <c r="W29" s="83">
        <f t="array" ref="W29">AVERAGE(IF(ISERROR(W4:W27),"",W4:W27))</f>
        <v>3.8373999616260006</v>
      </c>
      <c r="X29" s="83">
        <f t="array" ref="X29">AVERAGE(IF(ISERROR(X4:X27),"",X4:X27))</f>
        <v>62.066098770337163</v>
      </c>
    </row>
    <row r="30" spans="1:24">
      <c r="A30" t="s">
        <v>248</v>
      </c>
      <c r="B30">
        <v>10029</v>
      </c>
      <c r="C30" s="83">
        <v>1049.4600000000003</v>
      </c>
      <c r="D30" s="83">
        <v>78.745063565771687</v>
      </c>
      <c r="E30" s="83">
        <v>47.897019791751724</v>
      </c>
      <c r="F30">
        <v>3</v>
      </c>
      <c r="G30" s="83">
        <v>10.505010564411899</v>
      </c>
      <c r="H30" s="83">
        <v>6.0976572726499993</v>
      </c>
      <c r="I30" s="83">
        <v>626.26000000000067</v>
      </c>
      <c r="J30" s="83">
        <v>27.761145393540517</v>
      </c>
      <c r="K30" s="83">
        <v>6.0984764052402269</v>
      </c>
      <c r="L30" s="83">
        <v>37.734302538724336</v>
      </c>
    </row>
    <row r="31" spans="1:24">
      <c r="A31" t="s">
        <v>249</v>
      </c>
      <c r="B31">
        <v>10030</v>
      </c>
      <c r="C31" s="83">
        <v>1026.2900000000004</v>
      </c>
      <c r="D31" s="83">
        <v>80.296051178946044</v>
      </c>
      <c r="E31" s="83">
        <v>35.951850317083519</v>
      </c>
      <c r="F31">
        <v>3</v>
      </c>
      <c r="G31" s="83">
        <v>10.254613428637716</v>
      </c>
      <c r="H31" s="83">
        <v>6.4413288336399992</v>
      </c>
      <c r="I31" s="83">
        <v>641.26000000000079</v>
      </c>
      <c r="J31" s="83">
        <v>24.314645923622571</v>
      </c>
      <c r="K31" s="83">
        <v>15.168565801884364</v>
      </c>
      <c r="L31" s="83">
        <v>17.088940247526725</v>
      </c>
    </row>
    <row r="32" spans="1:24">
      <c r="A32" t="s">
        <v>250</v>
      </c>
      <c r="B32">
        <v>10031</v>
      </c>
      <c r="C32" s="83">
        <v>975.86</v>
      </c>
      <c r="D32" s="83">
        <v>89.565084626146913</v>
      </c>
      <c r="E32" s="83">
        <v>6.6245197997840153</v>
      </c>
      <c r="F32">
        <v>3</v>
      </c>
      <c r="G32" s="83">
        <v>1.6204226873365659</v>
      </c>
      <c r="H32" s="83">
        <v>3.6546059899399999</v>
      </c>
      <c r="I32" s="83">
        <v>641.26000000000079</v>
      </c>
      <c r="J32" s="83">
        <v>0</v>
      </c>
      <c r="K32" s="83">
        <v>25.59925655336388</v>
      </c>
      <c r="L32" s="83">
        <v>0</v>
      </c>
    </row>
    <row r="33" spans="1:12">
      <c r="A33" t="s">
        <v>251</v>
      </c>
      <c r="B33">
        <v>10032</v>
      </c>
      <c r="C33" s="83">
        <v>1010.75</v>
      </c>
      <c r="D33" s="83">
        <v>94.206786386649071</v>
      </c>
      <c r="E33" s="83">
        <v>4.2410186457502759</v>
      </c>
      <c r="F33">
        <v>1</v>
      </c>
      <c r="G33" s="83">
        <v>17.504790410529761</v>
      </c>
      <c r="H33" s="83">
        <v>2.5373607010799999</v>
      </c>
      <c r="I33" s="83">
        <v>602.92000000000064</v>
      </c>
      <c r="J33" s="83">
        <v>0</v>
      </c>
      <c r="K33" s="83">
        <v>1.4663934792856375</v>
      </c>
      <c r="L33" s="83">
        <v>3.2070398093715702</v>
      </c>
    </row>
    <row r="34" spans="1:12">
      <c r="A34" t="s">
        <v>252</v>
      </c>
      <c r="B34">
        <v>10033</v>
      </c>
      <c r="C34" s="83">
        <v>1012.9500000000005</v>
      </c>
      <c r="D34" s="83">
        <v>87.193492719917998</v>
      </c>
      <c r="E34" s="83">
        <v>16.51455790676987</v>
      </c>
      <c r="F34">
        <v>1</v>
      </c>
      <c r="G34" s="83">
        <v>5.3101319918401835</v>
      </c>
      <c r="H34" s="83">
        <v>3.1359442951399998</v>
      </c>
      <c r="I34" s="83">
        <v>602.59000000000071</v>
      </c>
      <c r="J34" s="83">
        <v>40.468962446441246</v>
      </c>
      <c r="K34" s="83">
        <v>7.6159832027698187</v>
      </c>
      <c r="L34" s="83">
        <v>16.315075443323693</v>
      </c>
    </row>
    <row r="35" spans="1:12">
      <c r="A35" t="s">
        <v>253</v>
      </c>
      <c r="B35">
        <v>10034</v>
      </c>
      <c r="C35" s="83">
        <v>991.98000000000047</v>
      </c>
      <c r="D35" s="83">
        <v>64.471946966552153</v>
      </c>
      <c r="E35" s="83">
        <v>53.431041587935177</v>
      </c>
      <c r="F35">
        <v>1</v>
      </c>
      <c r="G35" s="83">
        <v>7.0320997549635642</v>
      </c>
      <c r="H35" s="83">
        <v>5.9343761712199994</v>
      </c>
      <c r="I35" s="83">
        <v>602.59000000000071</v>
      </c>
      <c r="J35" s="83">
        <v>39.330849516367003</v>
      </c>
      <c r="K35" s="83">
        <v>4.2337001270110042</v>
      </c>
      <c r="L35" s="83">
        <v>50.933197860997716</v>
      </c>
    </row>
    <row r="36" spans="1:12">
      <c r="A36" t="s">
        <v>254</v>
      </c>
      <c r="B36">
        <v>10035</v>
      </c>
      <c r="C36" s="83">
        <v>961.30000000000041</v>
      </c>
      <c r="D36" s="83">
        <v>38.772300445821053</v>
      </c>
      <c r="E36" s="83">
        <v>80.209324588978546</v>
      </c>
      <c r="F36">
        <v>1</v>
      </c>
      <c r="G36" s="83">
        <v>9.4543516168988031</v>
      </c>
      <c r="H36" s="83">
        <v>9.0738105238899998</v>
      </c>
      <c r="I36" s="83">
        <v>606.8500000000007</v>
      </c>
      <c r="J36" s="83">
        <v>36.570519997613957</v>
      </c>
      <c r="K36" s="83">
        <v>1.7126764916933983</v>
      </c>
      <c r="L36" s="83">
        <v>80.156003093917377</v>
      </c>
    </row>
    <row r="37" spans="1:12">
      <c r="A37" t="s">
        <v>255</v>
      </c>
      <c r="B37">
        <v>10036</v>
      </c>
      <c r="C37" s="83">
        <v>953.14000000000033</v>
      </c>
      <c r="D37" s="83">
        <v>20.580668788832348</v>
      </c>
      <c r="E37" s="83">
        <v>72.006651253271784</v>
      </c>
      <c r="F37">
        <v>1</v>
      </c>
      <c r="G37" s="83">
        <v>11.55433581401185</v>
      </c>
      <c r="H37" s="83">
        <v>11.886261321700001</v>
      </c>
      <c r="I37" s="83">
        <v>606.8500000000007</v>
      </c>
      <c r="J37" s="83">
        <v>64.894361052064426</v>
      </c>
      <c r="K37" s="83">
        <v>4.672577931216308</v>
      </c>
      <c r="L37" s="83">
        <v>70.032201160999705</v>
      </c>
    </row>
    <row r="38" spans="1:12">
      <c r="A38" t="s">
        <v>256</v>
      </c>
      <c r="B38">
        <v>10037</v>
      </c>
      <c r="C38" s="83">
        <v>959.59000000000037</v>
      </c>
      <c r="D38" s="83">
        <v>16.189528919167799</v>
      </c>
      <c r="E38" s="83">
        <v>80.910011941833488</v>
      </c>
      <c r="F38">
        <v>1</v>
      </c>
      <c r="G38" s="83">
        <v>8.0891801440437003</v>
      </c>
      <c r="H38" s="83">
        <v>10.8011414573</v>
      </c>
      <c r="I38" s="83">
        <v>609.21000000000072</v>
      </c>
      <c r="J38" s="83">
        <v>28.974268223354251</v>
      </c>
      <c r="K38" s="83">
        <v>1.5437371555214539</v>
      </c>
      <c r="L38" s="83">
        <v>84.407416600432953</v>
      </c>
    </row>
    <row r="39" spans="1:12">
      <c r="A39" t="s">
        <v>257</v>
      </c>
      <c r="B39">
        <v>10038</v>
      </c>
      <c r="C39" s="83">
        <v>1001.8200000000004</v>
      </c>
      <c r="D39" s="83">
        <v>37.809426078090432</v>
      </c>
      <c r="E39" s="83">
        <v>75.558780790536431</v>
      </c>
      <c r="F39">
        <v>1</v>
      </c>
      <c r="G39" s="83">
        <v>7.5062857199193882</v>
      </c>
      <c r="H39" s="83">
        <v>8.9742358644999989</v>
      </c>
      <c r="I39" s="83">
        <v>609.21000000000072</v>
      </c>
      <c r="J39" s="83">
        <v>2.5981936398802334</v>
      </c>
      <c r="K39" s="83">
        <v>2.5325667983484741</v>
      </c>
      <c r="L39" s="83">
        <v>76.287354527224878</v>
      </c>
    </row>
    <row r="40" spans="1:12">
      <c r="A40" t="s">
        <v>258</v>
      </c>
      <c r="B40">
        <v>10039</v>
      </c>
      <c r="C40" s="83">
        <v>1082.2400000000002</v>
      </c>
      <c r="D40" s="83">
        <v>90.283552295974332</v>
      </c>
      <c r="E40" s="83">
        <v>47.248161076606657</v>
      </c>
      <c r="F40">
        <v>3</v>
      </c>
      <c r="G40" s="83">
        <v>5.093599945808303</v>
      </c>
      <c r="H40" s="83">
        <v>4.1227686375600001</v>
      </c>
      <c r="I40" s="83">
        <v>607.85000000000059</v>
      </c>
      <c r="J40" s="83">
        <v>2.7259410777884385</v>
      </c>
      <c r="K40" s="83">
        <v>2.293400068802002</v>
      </c>
      <c r="L40" s="83">
        <v>47.552999550595977</v>
      </c>
    </row>
    <row r="41" spans="1:12">
      <c r="A41" t="s">
        <v>259</v>
      </c>
      <c r="B41">
        <v>10040</v>
      </c>
      <c r="C41" s="83">
        <v>1121.6100000000001</v>
      </c>
      <c r="D41" s="83">
        <v>92.750900782179755</v>
      </c>
      <c r="E41" s="83">
        <v>62.062536532499813</v>
      </c>
      <c r="F41">
        <v>3</v>
      </c>
      <c r="G41" s="83">
        <v>7.5576998643084297</v>
      </c>
      <c r="H41" s="83">
        <v>3.46175663512</v>
      </c>
      <c r="I41" s="83">
        <v>607.85000000000059</v>
      </c>
      <c r="J41" s="83">
        <v>0.15641192600929782</v>
      </c>
      <c r="K41" s="83">
        <v>4.0044001601760062</v>
      </c>
      <c r="L41" s="83">
        <v>63.225599941022573</v>
      </c>
    </row>
    <row r="42" spans="1:12">
      <c r="A42" t="s">
        <v>260</v>
      </c>
      <c r="B42">
        <v>10041</v>
      </c>
      <c r="C42" s="83">
        <v>1134.6500000000001</v>
      </c>
      <c r="D42" s="83">
        <v>92.099563011184173</v>
      </c>
      <c r="E42" s="83">
        <v>24.107985525854943</v>
      </c>
      <c r="F42">
        <v>3</v>
      </c>
      <c r="G42" s="83">
        <v>4.828200207717642</v>
      </c>
      <c r="H42" s="83">
        <v>2.7150036929799999</v>
      </c>
      <c r="I42" s="83">
        <v>603.51000000000067</v>
      </c>
      <c r="J42" s="83">
        <v>0</v>
      </c>
      <c r="K42" s="83">
        <v>5.7552999424470013</v>
      </c>
      <c r="L42" s="83">
        <v>25.898700714014822</v>
      </c>
    </row>
    <row r="43" spans="1:12">
      <c r="A43" t="s">
        <v>261</v>
      </c>
      <c r="B43">
        <v>10042</v>
      </c>
      <c r="C43" s="83">
        <v>1147.8600000000004</v>
      </c>
      <c r="D43" s="83">
        <v>85.935415607205243</v>
      </c>
      <c r="E43" s="83">
        <v>52.167338019557285</v>
      </c>
      <c r="F43">
        <v>3</v>
      </c>
      <c r="G43" s="83">
        <v>6.8128002799995162</v>
      </c>
      <c r="H43" s="83">
        <v>3.8269703700399997</v>
      </c>
      <c r="I43" s="83">
        <v>603.51000000000067</v>
      </c>
      <c r="J43" s="83">
        <v>3.865172159466379</v>
      </c>
      <c r="K43" s="83">
        <v>3.1891999999999996</v>
      </c>
      <c r="L43" s="83">
        <v>53.782600868004678</v>
      </c>
    </row>
    <row r="44" spans="1:12">
      <c r="A44" t="s">
        <v>262</v>
      </c>
      <c r="B44">
        <v>10043</v>
      </c>
      <c r="C44" s="83">
        <v>1092.7800000000004</v>
      </c>
      <c r="D44" s="83">
        <v>80.046378219018166</v>
      </c>
      <c r="E44" s="83">
        <v>74.553293231102245</v>
      </c>
      <c r="F44">
        <v>3</v>
      </c>
      <c r="G44" s="83">
        <v>8.4824997754755653</v>
      </c>
      <c r="H44" s="83">
        <v>4.6828826405099999</v>
      </c>
      <c r="I44" s="83">
        <v>601.2300000000007</v>
      </c>
      <c r="J44" s="83">
        <v>3.7553215651711178</v>
      </c>
      <c r="K44" s="83">
        <v>1.8197000545910016</v>
      </c>
      <c r="L44" s="83">
        <v>77.550999918531701</v>
      </c>
    </row>
    <row r="45" spans="1:12">
      <c r="A45" t="s">
        <v>263</v>
      </c>
      <c r="B45">
        <v>10044</v>
      </c>
      <c r="C45" s="83">
        <v>1035.8700000000003</v>
      </c>
      <c r="D45" s="83">
        <v>85.12957509885608</v>
      </c>
      <c r="E45" s="83">
        <v>64.20431115092768</v>
      </c>
      <c r="F45">
        <v>3</v>
      </c>
      <c r="G45" s="83">
        <v>12.578664087107212</v>
      </c>
      <c r="H45" s="83">
        <v>4.03233671974</v>
      </c>
      <c r="I45" s="83">
        <v>601.2300000000007</v>
      </c>
      <c r="J45" s="83">
        <v>3.7064316973574463</v>
      </c>
      <c r="K45" s="83">
        <v>3.6499436261444695</v>
      </c>
      <c r="L45" s="83">
        <v>64.038860734286089</v>
      </c>
    </row>
    <row r="46" spans="1:12">
      <c r="A46" t="s">
        <v>264</v>
      </c>
      <c r="B46">
        <v>10045</v>
      </c>
      <c r="C46" s="83">
        <v>1021.0900000000001</v>
      </c>
      <c r="D46" s="83">
        <v>76.972853720075747</v>
      </c>
      <c r="E46" s="83">
        <v>53.986719959327779</v>
      </c>
      <c r="F46">
        <v>3</v>
      </c>
      <c r="G46" s="83">
        <v>9.4394172801656335</v>
      </c>
      <c r="H46" s="83">
        <v>5.2641477195199995</v>
      </c>
      <c r="I46" s="83">
        <v>601.6200000000008</v>
      </c>
      <c r="J46" s="83">
        <v>8.9604471046625916E-2</v>
      </c>
      <c r="K46" s="83">
        <v>8.1383917196492419</v>
      </c>
      <c r="L46" s="83">
        <v>53.775537738340532</v>
      </c>
    </row>
    <row r="47" spans="1:12">
      <c r="A47" t="s">
        <v>265</v>
      </c>
      <c r="B47">
        <v>10046</v>
      </c>
      <c r="C47" s="83">
        <v>1039.6400000000001</v>
      </c>
      <c r="D47" s="83">
        <v>89.623531594377539</v>
      </c>
      <c r="E47" s="83">
        <v>75.630525150662322</v>
      </c>
      <c r="F47">
        <v>3</v>
      </c>
      <c r="G47" s="83">
        <v>6.8506002000240018</v>
      </c>
      <c r="H47" s="83">
        <v>4.1507035249999999</v>
      </c>
      <c r="I47" s="83">
        <v>601.6200000000008</v>
      </c>
      <c r="J47" s="83">
        <v>30.769977967805922</v>
      </c>
      <c r="K47" s="83">
        <v>2.8541001141640048</v>
      </c>
      <c r="L47" s="83">
        <v>76.683300421334764</v>
      </c>
    </row>
    <row r="48" spans="1:12">
      <c r="A48" t="s">
        <v>266</v>
      </c>
      <c r="B48">
        <v>10047</v>
      </c>
      <c r="C48" s="83">
        <v>1052.9700000000005</v>
      </c>
      <c r="D48" s="83">
        <v>85.346696564330671</v>
      </c>
      <c r="E48" s="83">
        <v>78.438835132239362</v>
      </c>
      <c r="F48">
        <v>3</v>
      </c>
      <c r="G48" s="83">
        <v>6.6775000361004739</v>
      </c>
      <c r="H48" s="83">
        <v>5.4767407889099999</v>
      </c>
      <c r="I48" s="83">
        <v>611.01000000000056</v>
      </c>
      <c r="J48" s="83">
        <v>30.815291155182312</v>
      </c>
      <c r="K48" s="83">
        <v>2.1526000861040036</v>
      </c>
      <c r="L48" s="83">
        <v>77.393100011727924</v>
      </c>
    </row>
    <row r="49" spans="1:12">
      <c r="A49" t="s">
        <v>267</v>
      </c>
      <c r="B49">
        <v>10048</v>
      </c>
      <c r="C49" s="83">
        <v>1044.4300000000003</v>
      </c>
      <c r="D49" s="83">
        <v>82.719246493305477</v>
      </c>
      <c r="E49" s="83">
        <v>61.11531311622354</v>
      </c>
      <c r="F49">
        <v>3</v>
      </c>
      <c r="G49" s="83">
        <v>16.342600201573674</v>
      </c>
      <c r="H49" s="83">
        <v>6.4543841976999996</v>
      </c>
      <c r="I49" s="83">
        <v>611.01000000000056</v>
      </c>
      <c r="J49" s="83">
        <v>40.653181153370674</v>
      </c>
      <c r="K49" s="83">
        <v>3.144599968554</v>
      </c>
      <c r="L49" s="83">
        <v>56.872900240268542</v>
      </c>
    </row>
    <row r="50" spans="1:12">
      <c r="A50" t="s">
        <v>268</v>
      </c>
      <c r="B50">
        <v>10049</v>
      </c>
      <c r="C50" s="83">
        <v>1038.9199999999998</v>
      </c>
      <c r="D50" s="83">
        <v>92.477648604525939</v>
      </c>
      <c r="E50" s="83">
        <v>52.67400878401839</v>
      </c>
      <c r="F50">
        <v>3</v>
      </c>
      <c r="G50" s="83">
        <v>23.130694370147129</v>
      </c>
      <c r="H50" s="83">
        <v>6.0541553766399998</v>
      </c>
      <c r="I50" s="83">
        <v>635.1000000000007</v>
      </c>
      <c r="J50" s="83">
        <v>67.506166347331103</v>
      </c>
      <c r="K50" s="83">
        <v>3.028724295949369</v>
      </c>
      <c r="L50" s="83">
        <v>53.976706172177899</v>
      </c>
    </row>
    <row r="51" spans="1:12">
      <c r="A51" t="s">
        <v>269</v>
      </c>
      <c r="B51">
        <v>10050</v>
      </c>
      <c r="C51" s="83">
        <v>995.56999999999994</v>
      </c>
      <c r="D51" s="83">
        <v>94.598603173844751</v>
      </c>
      <c r="E51" s="83">
        <v>20.192441987642979</v>
      </c>
      <c r="F51">
        <v>3</v>
      </c>
      <c r="G51" s="83">
        <v>40.514277472111971</v>
      </c>
      <c r="H51" s="83">
        <v>4.9079445017299994</v>
      </c>
      <c r="I51" s="83">
        <v>635.1000000000007</v>
      </c>
      <c r="J51" s="83">
        <v>68.596567670709206</v>
      </c>
      <c r="K51" s="83">
        <v>15.071059681810292</v>
      </c>
      <c r="L51" s="83">
        <v>11.594748419443453</v>
      </c>
    </row>
    <row r="52" spans="1:12">
      <c r="A52" t="s">
        <v>270</v>
      </c>
      <c r="B52">
        <v>10051</v>
      </c>
      <c r="C52" s="83">
        <v>968.47000000000025</v>
      </c>
      <c r="D52" s="83">
        <v>95.199078671294785</v>
      </c>
      <c r="E52" s="83">
        <v>7.9475352891538158</v>
      </c>
      <c r="F52">
        <v>3</v>
      </c>
      <c r="G52" s="83">
        <v>4.8639728393747284</v>
      </c>
      <c r="H52" s="83">
        <v>3.1312682171199997</v>
      </c>
      <c r="I52" s="83">
        <v>657.08000000000038</v>
      </c>
      <c r="J52" s="83">
        <v>0</v>
      </c>
      <c r="K52" s="83">
        <v>32.219586426776168</v>
      </c>
      <c r="L52" s="83">
        <v>2.0331731360757033</v>
      </c>
    </row>
    <row r="53" spans="1:12">
      <c r="A53" t="s">
        <v>271</v>
      </c>
      <c r="B53">
        <v>10052</v>
      </c>
      <c r="C53" s="83">
        <v>982.9600000000006</v>
      </c>
      <c r="D53" s="83">
        <v>89.705225241571469</v>
      </c>
      <c r="E53" s="83">
        <v>19.215528755395482</v>
      </c>
      <c r="F53">
        <v>3</v>
      </c>
      <c r="G53" s="83">
        <v>2.2850252084271823</v>
      </c>
      <c r="H53" s="83">
        <v>1.4480315236399999</v>
      </c>
      <c r="I53" s="83">
        <v>659.81000000000051</v>
      </c>
      <c r="J53" s="83">
        <v>0</v>
      </c>
      <c r="K53" s="83">
        <v>23.855765095047886</v>
      </c>
      <c r="L53" s="83">
        <v>2.829983664409946E-2</v>
      </c>
    </row>
    <row r="54" spans="1:12">
      <c r="A54" t="s">
        <v>272</v>
      </c>
      <c r="B54">
        <v>10053</v>
      </c>
      <c r="C54" s="83">
        <v>974.97000000000048</v>
      </c>
      <c r="D54" s="83">
        <v>97.955821014342646</v>
      </c>
      <c r="E54" s="83">
        <v>11.453212049603973</v>
      </c>
      <c r="F54">
        <v>3</v>
      </c>
      <c r="G54" s="83">
        <v>1.2629822535294637</v>
      </c>
      <c r="H54" s="83">
        <v>1.5312440328899999</v>
      </c>
      <c r="I54" s="83">
        <v>659.81000000000051</v>
      </c>
      <c r="J54" s="83">
        <v>0</v>
      </c>
      <c r="K54" s="83">
        <v>23.438351812140247</v>
      </c>
      <c r="L54" s="83">
        <v>6.6590752206141994</v>
      </c>
    </row>
    <row r="55" spans="1:12">
      <c r="A55" t="s">
        <v>273</v>
      </c>
      <c r="B55">
        <v>10054</v>
      </c>
      <c r="C55" s="83">
        <v>992.43000000000029</v>
      </c>
      <c r="D55" s="83">
        <v>89.217702004950411</v>
      </c>
      <c r="E55" s="83">
        <v>17.438125442155179</v>
      </c>
      <c r="F55">
        <v>1</v>
      </c>
      <c r="G55" s="83">
        <v>4.807180711702812</v>
      </c>
      <c r="H55" s="83">
        <v>2.2362781512700001</v>
      </c>
      <c r="I55" s="83">
        <v>602.92000000000064</v>
      </c>
      <c r="J55" s="83">
        <v>8.7921007031013965E-2</v>
      </c>
      <c r="K55" s="83">
        <v>12.512787486721939</v>
      </c>
      <c r="L55" s="83">
        <v>15.824498515114296</v>
      </c>
    </row>
    <row r="56" spans="1:12">
      <c r="A56" t="s">
        <v>274</v>
      </c>
      <c r="B56">
        <v>10055</v>
      </c>
      <c r="C56" s="83">
        <v>1002.0700000000003</v>
      </c>
      <c r="D56" s="83">
        <v>35.140019501422088</v>
      </c>
      <c r="E56" s="83">
        <v>63.004308470328517</v>
      </c>
      <c r="F56">
        <v>1</v>
      </c>
      <c r="G56" s="83">
        <v>10.209570410089196</v>
      </c>
      <c r="H56" s="83">
        <v>8.7198749855199988</v>
      </c>
      <c r="I56" s="83">
        <v>602.59000000000071</v>
      </c>
      <c r="J56" s="83">
        <v>40.047727053137386</v>
      </c>
      <c r="K56" s="83">
        <v>1.5841306024659625</v>
      </c>
      <c r="L56" s="83">
        <v>64.039244604363105</v>
      </c>
    </row>
    <row r="57" spans="1:12">
      <c r="A57" t="s">
        <v>275</v>
      </c>
      <c r="B57">
        <v>10056</v>
      </c>
      <c r="C57" s="83">
        <v>988.45000000000039</v>
      </c>
      <c r="D57" s="83">
        <v>18.467439275882118</v>
      </c>
      <c r="E57" s="83">
        <v>78.989526219111056</v>
      </c>
      <c r="F57">
        <v>1</v>
      </c>
      <c r="G57" s="83">
        <v>11.695864565326762</v>
      </c>
      <c r="H57" s="83">
        <v>12.478454217000001</v>
      </c>
      <c r="I57" s="83">
        <v>602.59000000000071</v>
      </c>
      <c r="J57" s="83">
        <v>55.328943461830605</v>
      </c>
      <c r="K57" s="83">
        <v>1.9189611110724929</v>
      </c>
      <c r="L57" s="83">
        <v>80.096750815817757</v>
      </c>
    </row>
    <row r="58" spans="1:12">
      <c r="A58" t="s">
        <v>276</v>
      </c>
      <c r="B58">
        <v>10057</v>
      </c>
      <c r="C58" s="83">
        <v>962.07000000000028</v>
      </c>
      <c r="D58" s="83">
        <v>36.53486287106071</v>
      </c>
      <c r="E58" s="83">
        <v>75.66531190892762</v>
      </c>
      <c r="F58">
        <v>1</v>
      </c>
      <c r="G58" s="83">
        <v>8.2663346877096213</v>
      </c>
      <c r="H58" s="83">
        <v>10.275057844000001</v>
      </c>
      <c r="I58" s="83">
        <v>606.8500000000007</v>
      </c>
      <c r="J58" s="83">
        <v>73.840812972019805</v>
      </c>
      <c r="K58" s="83">
        <v>7.5830922149675493</v>
      </c>
      <c r="L58" s="83">
        <v>71.85110836994113</v>
      </c>
    </row>
    <row r="59" spans="1:12">
      <c r="A59" t="s">
        <v>277</v>
      </c>
      <c r="B59">
        <v>10058</v>
      </c>
      <c r="C59" s="83">
        <v>957.78000000000009</v>
      </c>
      <c r="D59" s="83">
        <v>25.201249030599374</v>
      </c>
      <c r="E59" s="83">
        <v>80.903060054691778</v>
      </c>
      <c r="F59">
        <v>1</v>
      </c>
      <c r="G59" s="83">
        <v>7.0953833899263357</v>
      </c>
      <c r="H59" s="83">
        <v>10.3935595808</v>
      </c>
      <c r="I59" s="83">
        <v>606.8500000000007</v>
      </c>
      <c r="J59" s="83">
        <v>65.088925004918408</v>
      </c>
      <c r="K59" s="83">
        <v>20.857889892037733</v>
      </c>
      <c r="L59" s="83">
        <v>74.318043410874893</v>
      </c>
    </row>
    <row r="60" spans="1:12">
      <c r="A60" t="s">
        <v>278</v>
      </c>
      <c r="B60">
        <v>10059</v>
      </c>
      <c r="C60" s="83">
        <v>958.53000000000009</v>
      </c>
      <c r="D60" s="83">
        <v>35.395471761535426</v>
      </c>
      <c r="E60" s="83">
        <v>69.854643267773838</v>
      </c>
      <c r="F60">
        <v>1</v>
      </c>
      <c r="G60" s="83">
        <v>13.990240535417255</v>
      </c>
      <c r="H60" s="83">
        <v>9.1099185036900003</v>
      </c>
      <c r="I60" s="83">
        <v>609.21000000000072</v>
      </c>
      <c r="J60" s="83">
        <v>42.704539248661511</v>
      </c>
      <c r="K60" s="83">
        <v>5.0627511958656539</v>
      </c>
      <c r="L60" s="83">
        <v>68.266712436410316</v>
      </c>
    </row>
    <row r="61" spans="1:12">
      <c r="A61" t="s">
        <v>279</v>
      </c>
      <c r="B61">
        <v>10060</v>
      </c>
      <c r="C61" s="83">
        <v>995.26000000000022</v>
      </c>
      <c r="D61" s="83">
        <v>47.465979485499084</v>
      </c>
      <c r="E61" s="83">
        <v>55.155466795254874</v>
      </c>
      <c r="F61">
        <v>1</v>
      </c>
      <c r="G61" s="83">
        <v>19.988769665261902</v>
      </c>
      <c r="H61" s="83">
        <v>6.9761424074299994</v>
      </c>
      <c r="I61" s="83">
        <v>609.21000000000072</v>
      </c>
      <c r="J61" s="83">
        <v>84.057416029570788</v>
      </c>
      <c r="K61" s="83">
        <v>4.5770419994631721</v>
      </c>
      <c r="L61" s="83">
        <v>58.392298456128223</v>
      </c>
    </row>
    <row r="62" spans="1:12">
      <c r="A62" t="s">
        <v>280</v>
      </c>
      <c r="B62">
        <v>10061</v>
      </c>
      <c r="C62" s="83">
        <v>1095.7600000000004</v>
      </c>
      <c r="D62" s="83">
        <v>14.198164698934644</v>
      </c>
      <c r="E62" s="83">
        <v>77.944636266933728</v>
      </c>
      <c r="F62">
        <v>1</v>
      </c>
      <c r="G62" s="83">
        <v>12.541442638881939</v>
      </c>
      <c r="H62" s="83">
        <v>11.367284441000001</v>
      </c>
      <c r="I62" s="83">
        <v>607.85000000000059</v>
      </c>
      <c r="J62" s="83">
        <v>3.5808675512591677</v>
      </c>
      <c r="K62" s="83">
        <v>1.3110544484354447</v>
      </c>
      <c r="L62" s="83">
        <v>79.792482168026339</v>
      </c>
    </row>
    <row r="63" spans="1:12">
      <c r="A63" t="s">
        <v>281</v>
      </c>
      <c r="B63">
        <v>10062</v>
      </c>
      <c r="C63" s="83">
        <v>1137.7599999999998</v>
      </c>
      <c r="D63" s="83">
        <v>77.964455303583463</v>
      </c>
      <c r="E63" s="83">
        <v>40.832401248509356</v>
      </c>
      <c r="F63">
        <v>3</v>
      </c>
      <c r="G63" s="83">
        <v>25.319200348575677</v>
      </c>
      <c r="H63" s="83">
        <v>5.0866040181600001</v>
      </c>
      <c r="I63" s="83">
        <v>607.85000000000059</v>
      </c>
      <c r="J63" s="83">
        <v>1.4936729583442538</v>
      </c>
      <c r="K63" s="83">
        <v>2.9404000882120025</v>
      </c>
      <c r="L63" s="83">
        <v>45.336699060094681</v>
      </c>
    </row>
    <row r="64" spans="1:12">
      <c r="A64" t="s">
        <v>282</v>
      </c>
      <c r="B64">
        <v>10063</v>
      </c>
      <c r="C64" s="83">
        <v>1130.6300000000003</v>
      </c>
      <c r="D64" s="83">
        <v>77.523876175103425</v>
      </c>
      <c r="E64" s="83">
        <v>53.901822415446333</v>
      </c>
      <c r="F64">
        <v>3</v>
      </c>
      <c r="G64" s="83">
        <v>7.2052998848938614</v>
      </c>
      <c r="H64" s="83">
        <v>4.0879916111099996</v>
      </c>
      <c r="I64" s="83">
        <v>603.51000000000067</v>
      </c>
      <c r="J64" s="83">
        <v>0.25104874018896634</v>
      </c>
      <c r="K64" s="83">
        <v>8.2093998358120039</v>
      </c>
      <c r="L64" s="83">
        <v>55.160798975783912</v>
      </c>
    </row>
    <row r="65" spans="1:12">
      <c r="A65" t="s">
        <v>283</v>
      </c>
      <c r="B65">
        <v>10064</v>
      </c>
      <c r="C65" s="83">
        <v>1132.3200000000002</v>
      </c>
      <c r="D65" s="83">
        <v>76.027763561457931</v>
      </c>
      <c r="E65" s="83">
        <v>67.815598916636787</v>
      </c>
      <c r="F65">
        <v>3</v>
      </c>
      <c r="G65" s="83">
        <v>7.3678000363217615</v>
      </c>
      <c r="H65" s="83">
        <v>5.07512402502</v>
      </c>
      <c r="I65" s="83">
        <v>603.51000000000067</v>
      </c>
      <c r="J65" s="83">
        <v>0.21120967483190942</v>
      </c>
      <c r="K65" s="83">
        <v>4.8487999515120004</v>
      </c>
      <c r="L65" s="83">
        <v>68.05470152945297</v>
      </c>
    </row>
    <row r="66" spans="1:12">
      <c r="A66" t="s">
        <v>284</v>
      </c>
      <c r="B66">
        <v>10065</v>
      </c>
      <c r="C66" s="83">
        <v>1094.1200000000003</v>
      </c>
      <c r="D66" s="83">
        <v>80.201971901797222</v>
      </c>
      <c r="E66" s="83">
        <v>75.454528895891869</v>
      </c>
      <c r="F66">
        <v>3</v>
      </c>
      <c r="G66" s="83">
        <v>10.720300137405557</v>
      </c>
      <c r="H66" s="83">
        <v>5.3717262157499999</v>
      </c>
      <c r="I66" s="83">
        <v>601.2300000000007</v>
      </c>
      <c r="J66" s="83">
        <v>3.8035312359392703</v>
      </c>
      <c r="K66" s="83">
        <v>1.7855000357100008</v>
      </c>
      <c r="L66" s="83">
        <v>78.360399777207391</v>
      </c>
    </row>
    <row r="67" spans="1:12">
      <c r="A67" t="s">
        <v>285</v>
      </c>
      <c r="B67">
        <v>10066</v>
      </c>
      <c r="C67" s="83">
        <v>1052.5600000000002</v>
      </c>
      <c r="D67" s="83">
        <v>76.292959034880326</v>
      </c>
      <c r="E67" s="83">
        <v>79.388390864357419</v>
      </c>
      <c r="F67">
        <v>3</v>
      </c>
      <c r="G67" s="83">
        <v>9.0736003842074684</v>
      </c>
      <c r="H67" s="83">
        <v>5.3151190458599995</v>
      </c>
      <c r="I67" s="83">
        <v>601.2300000000007</v>
      </c>
      <c r="J67" s="83">
        <v>3.7532601225721427</v>
      </c>
      <c r="K67" s="83">
        <v>1.8907000567210019</v>
      </c>
      <c r="L67" s="83">
        <v>80.988000359640182</v>
      </c>
    </row>
    <row r="68" spans="1:12">
      <c r="A68" t="s">
        <v>286</v>
      </c>
      <c r="B68">
        <v>10067</v>
      </c>
      <c r="C68" s="83">
        <v>1041.9100000000003</v>
      </c>
      <c r="D68" s="83">
        <v>90.552278854269844</v>
      </c>
      <c r="E68" s="83">
        <v>56.15300026788605</v>
      </c>
      <c r="F68">
        <v>3</v>
      </c>
      <c r="G68" s="83">
        <v>7.058500918828714</v>
      </c>
      <c r="H68" s="83">
        <v>3.3050859146899998</v>
      </c>
      <c r="I68" s="83">
        <v>601.6200000000008</v>
      </c>
      <c r="J68" s="83">
        <v>0</v>
      </c>
      <c r="K68" s="83">
        <v>6.6297998674040031</v>
      </c>
      <c r="L68" s="83">
        <v>53.465702521681145</v>
      </c>
    </row>
    <row r="69" spans="1:12">
      <c r="A69" t="s">
        <v>287</v>
      </c>
      <c r="B69">
        <v>10068</v>
      </c>
      <c r="C69" s="83">
        <v>1032.48</v>
      </c>
      <c r="D69" s="83">
        <v>84.629705800275232</v>
      </c>
      <c r="E69" s="83">
        <v>75.50671478402235</v>
      </c>
      <c r="F69">
        <v>3</v>
      </c>
      <c r="G69" s="83">
        <v>8.5571000287129237</v>
      </c>
      <c r="H69" s="83">
        <v>4.7367753440899998</v>
      </c>
      <c r="I69" s="83">
        <v>601.6200000000008</v>
      </c>
      <c r="J69" s="83">
        <v>4.4203384671311907</v>
      </c>
      <c r="K69" s="83">
        <v>1.5273000458190014</v>
      </c>
      <c r="L69" s="83">
        <v>74.543199888299057</v>
      </c>
    </row>
    <row r="70" spans="1:12">
      <c r="A70" t="s">
        <v>288</v>
      </c>
      <c r="B70">
        <v>10069</v>
      </c>
      <c r="C70" s="83">
        <v>1025.0700000000002</v>
      </c>
      <c r="D70" s="83">
        <v>87.154324473228868</v>
      </c>
      <c r="E70" s="83">
        <v>71.626781107121388</v>
      </c>
      <c r="F70">
        <v>3</v>
      </c>
      <c r="G70" s="83">
        <v>7.7910001427297084</v>
      </c>
      <c r="H70" s="83">
        <v>6.29836012103</v>
      </c>
      <c r="I70" s="83">
        <v>611.01000000000056</v>
      </c>
      <c r="J70" s="83">
        <v>77.383112843162138</v>
      </c>
      <c r="K70" s="83">
        <v>3.8224001146720035</v>
      </c>
      <c r="L70" s="83">
        <v>72.926599961799809</v>
      </c>
    </row>
    <row r="71" spans="1:12">
      <c r="A71" t="s">
        <v>289</v>
      </c>
      <c r="B71">
        <v>10070</v>
      </c>
      <c r="C71" s="83">
        <v>1031.9100000000001</v>
      </c>
      <c r="D71" s="83">
        <v>82.798283939326112</v>
      </c>
      <c r="E71" s="83">
        <v>67.295868883526396</v>
      </c>
      <c r="F71">
        <v>3</v>
      </c>
      <c r="G71" s="83">
        <v>7.2047997659035481</v>
      </c>
      <c r="H71" s="83">
        <v>5.2796629923799996</v>
      </c>
      <c r="I71" s="83">
        <v>611.01000000000056</v>
      </c>
      <c r="J71" s="83">
        <v>9.353270072412057</v>
      </c>
      <c r="K71" s="83">
        <v>4.7953999040920019</v>
      </c>
      <c r="L71" s="83">
        <v>66.528299954436505</v>
      </c>
    </row>
    <row r="72" spans="1:12">
      <c r="A72" t="s">
        <v>290</v>
      </c>
      <c r="B72">
        <v>10071</v>
      </c>
      <c r="C72" s="83">
        <v>1035.2300000000005</v>
      </c>
      <c r="D72" s="83">
        <v>82.996380349484127</v>
      </c>
      <c r="E72" s="83">
        <v>75.319742911977755</v>
      </c>
      <c r="F72">
        <v>3</v>
      </c>
      <c r="G72" s="83">
        <v>9.7300000458999865</v>
      </c>
      <c r="H72" s="83">
        <v>6.8321301646699997</v>
      </c>
      <c r="I72" s="83">
        <v>635.1000000000007</v>
      </c>
      <c r="J72" s="83">
        <v>68.600348013380454</v>
      </c>
      <c r="K72" s="83">
        <v>4.156700124701004</v>
      </c>
      <c r="L72" s="83">
        <v>74.36579967597153</v>
      </c>
    </row>
    <row r="73" spans="1:12">
      <c r="A73" t="s">
        <v>291</v>
      </c>
      <c r="B73">
        <v>10072</v>
      </c>
      <c r="C73" s="83">
        <v>1021.7600000000006</v>
      </c>
      <c r="D73" s="83">
        <v>73.050969286410421</v>
      </c>
      <c r="E73" s="83">
        <v>71.835852518818044</v>
      </c>
      <c r="F73">
        <v>3</v>
      </c>
      <c r="G73" s="83">
        <v>11.723684364063452</v>
      </c>
      <c r="H73" s="83">
        <v>9.8906247621399999</v>
      </c>
      <c r="I73" s="83">
        <v>635.1000000000007</v>
      </c>
      <c r="J73" s="83">
        <v>77.365083342286752</v>
      </c>
      <c r="K73" s="83">
        <v>1.7305291159230856</v>
      </c>
      <c r="L73" s="83">
        <v>70.837015525315735</v>
      </c>
    </row>
    <row r="74" spans="1:12">
      <c r="A74" t="s">
        <v>292</v>
      </c>
      <c r="B74">
        <v>10073</v>
      </c>
      <c r="C74" s="83">
        <v>1007.5800000000003</v>
      </c>
      <c r="D74" s="83">
        <v>5.9672743050323449</v>
      </c>
      <c r="E74" s="83">
        <v>83.622151604482994</v>
      </c>
      <c r="F74">
        <v>3</v>
      </c>
      <c r="G74" s="83">
        <v>3.0272874836956314</v>
      </c>
      <c r="H74" s="83">
        <v>28.7024876533</v>
      </c>
      <c r="I74" s="83">
        <v>657.08000000000038</v>
      </c>
      <c r="J74" s="83">
        <v>82.561516015208042</v>
      </c>
      <c r="K74" s="83">
        <v>4.191591308737256</v>
      </c>
      <c r="L74" s="83">
        <v>69.054803685405659</v>
      </c>
    </row>
    <row r="75" spans="1:12">
      <c r="A75" t="s">
        <v>293</v>
      </c>
      <c r="B75">
        <v>10074</v>
      </c>
      <c r="C75" s="83">
        <v>1001.6000000000004</v>
      </c>
      <c r="D75" s="83">
        <v>40.955085711622573</v>
      </c>
      <c r="E75" s="83">
        <v>71.135357044857059</v>
      </c>
      <c r="F75">
        <v>3</v>
      </c>
      <c r="G75" s="83">
        <v>4.8397650152316514</v>
      </c>
      <c r="H75" s="83">
        <v>15.774942966800001</v>
      </c>
      <c r="I75" s="83">
        <v>657.08000000000038</v>
      </c>
      <c r="J75" s="83">
        <v>0.14682693486634854</v>
      </c>
      <c r="K75" s="83">
        <v>14.653883666587431</v>
      </c>
      <c r="L75" s="83">
        <v>50.00114278406992</v>
      </c>
    </row>
    <row r="76" spans="1:12">
      <c r="A76" t="s">
        <v>294</v>
      </c>
      <c r="B76">
        <v>10075</v>
      </c>
      <c r="C76" s="83">
        <v>992.10000000000036</v>
      </c>
      <c r="D76" s="83">
        <v>52.211054617565196</v>
      </c>
      <c r="E76" s="83">
        <v>49.70248843289545</v>
      </c>
      <c r="F76">
        <v>3</v>
      </c>
      <c r="G76" s="83">
        <v>5.2974768893197881</v>
      </c>
      <c r="H76" s="83">
        <v>11.663773490700001</v>
      </c>
      <c r="I76" s="83">
        <v>659.81000000000051</v>
      </c>
      <c r="J76" s="83">
        <v>8.0268169820016763E-2</v>
      </c>
      <c r="K76" s="83">
        <v>27.126073829135787</v>
      </c>
      <c r="L76" s="83">
        <v>24.180186427935723</v>
      </c>
    </row>
    <row r="77" spans="1:12">
      <c r="A77" t="s">
        <v>295</v>
      </c>
      <c r="B77">
        <v>10076</v>
      </c>
      <c r="C77" s="83">
        <v>986.60000000000014</v>
      </c>
      <c r="D77" s="83">
        <v>74.675733281247744</v>
      </c>
      <c r="E77" s="83">
        <v>53.959128099841216</v>
      </c>
      <c r="F77">
        <v>3</v>
      </c>
      <c r="G77" s="83">
        <v>12.517967477419681</v>
      </c>
      <c r="H77" s="83">
        <v>7.7518123432399992</v>
      </c>
      <c r="I77" s="83">
        <v>659.81000000000051</v>
      </c>
      <c r="J77" s="83">
        <v>8.8823433980321855</v>
      </c>
      <c r="K77" s="83">
        <v>10.806777460794976</v>
      </c>
      <c r="L77" s="83">
        <v>46.144907280549113</v>
      </c>
    </row>
    <row r="78" spans="1:12">
      <c r="A78" t="s">
        <v>296</v>
      </c>
      <c r="B78">
        <v>10077</v>
      </c>
      <c r="C78" s="83">
        <v>969.56000000000006</v>
      </c>
      <c r="D78" s="83">
        <v>82.397051893314313</v>
      </c>
      <c r="E78" s="83">
        <v>76.548992792340556</v>
      </c>
      <c r="F78">
        <v>3</v>
      </c>
      <c r="G78" s="83">
        <v>6.024110424400944</v>
      </c>
      <c r="H78" s="83">
        <v>6.0199230051499999</v>
      </c>
      <c r="I78" s="83">
        <v>653.64000000000033</v>
      </c>
      <c r="J78" s="83">
        <v>37.28808272865318</v>
      </c>
      <c r="K78" s="83">
        <v>6.4370891193736428</v>
      </c>
      <c r="L78" s="83">
        <v>68.779267744283203</v>
      </c>
    </row>
    <row r="79" spans="1:12">
      <c r="A79" t="s">
        <v>297</v>
      </c>
      <c r="B79">
        <v>10078</v>
      </c>
      <c r="C79" s="83">
        <v>978.31000000000006</v>
      </c>
      <c r="D79" s="83">
        <v>11.430998685623713</v>
      </c>
      <c r="E79" s="83">
        <v>63.225648007689173</v>
      </c>
      <c r="F79">
        <v>3</v>
      </c>
      <c r="G79" s="83">
        <v>3.0005896413259983</v>
      </c>
      <c r="H79" s="83">
        <v>22.4768326431</v>
      </c>
      <c r="I79" s="83">
        <v>653.64000000000033</v>
      </c>
      <c r="J79" s="83">
        <v>20.985367483053679</v>
      </c>
      <c r="K79" s="83">
        <v>15.520425390835518</v>
      </c>
      <c r="L79" s="83">
        <v>28.012011219332955</v>
      </c>
    </row>
    <row r="80" spans="1:12">
      <c r="A80" t="s">
        <v>298</v>
      </c>
      <c r="B80">
        <v>10079</v>
      </c>
      <c r="C80" s="83">
        <v>972.11000000000035</v>
      </c>
      <c r="D80" s="83">
        <v>85.333374575305157</v>
      </c>
      <c r="E80" s="83">
        <v>53.867347055676632</v>
      </c>
      <c r="F80">
        <v>1</v>
      </c>
      <c r="G80" s="83">
        <v>6.6531963212926311</v>
      </c>
      <c r="H80" s="83">
        <v>2.97129962579</v>
      </c>
      <c r="I80" s="83">
        <v>603.24000000000069</v>
      </c>
      <c r="J80" s="83">
        <v>2.0435961070844644</v>
      </c>
      <c r="K80" s="83">
        <v>8.5712417644487235</v>
      </c>
      <c r="L80" s="83">
        <v>52.860397067641159</v>
      </c>
    </row>
    <row r="81" spans="1:12">
      <c r="A81" t="s">
        <v>299</v>
      </c>
      <c r="B81">
        <v>10080</v>
      </c>
      <c r="C81" s="83">
        <v>980.43000000000006</v>
      </c>
      <c r="D81" s="83">
        <v>26.414213795464377</v>
      </c>
      <c r="E81" s="83">
        <v>72.598531900161646</v>
      </c>
      <c r="F81">
        <v>1</v>
      </c>
      <c r="G81" s="83">
        <v>17.078756464938525</v>
      </c>
      <c r="H81" s="83">
        <v>9.8660962150599989</v>
      </c>
      <c r="I81" s="83">
        <v>602.4800000000007</v>
      </c>
      <c r="J81" s="83">
        <v>2.75103922449409</v>
      </c>
      <c r="K81" s="83">
        <v>0.99758334336419174</v>
      </c>
      <c r="L81" s="83">
        <v>73.728672555700371</v>
      </c>
    </row>
    <row r="82" spans="1:12">
      <c r="A82" t="s">
        <v>300</v>
      </c>
      <c r="B82">
        <v>10081</v>
      </c>
      <c r="C82" s="83">
        <v>958.51000000000056</v>
      </c>
      <c r="D82" s="83">
        <v>10.140151286202688</v>
      </c>
      <c r="E82" s="83">
        <v>81.716296481933838</v>
      </c>
      <c r="F82">
        <v>1</v>
      </c>
      <c r="G82" s="83">
        <v>8.9004121707601822</v>
      </c>
      <c r="H82" s="83">
        <v>13.947505270000001</v>
      </c>
      <c r="I82" s="83">
        <v>602.4800000000007</v>
      </c>
      <c r="J82" s="83">
        <v>15.479194549012748</v>
      </c>
      <c r="K82" s="83">
        <v>3.2238276198572424</v>
      </c>
      <c r="L82" s="83">
        <v>81.584380094136222</v>
      </c>
    </row>
    <row r="83" spans="1:12">
      <c r="A83" t="s">
        <v>301</v>
      </c>
      <c r="B83">
        <v>10082</v>
      </c>
      <c r="C83" s="83">
        <v>952.1500000000002</v>
      </c>
      <c r="D83" s="83">
        <v>18.193066858312228</v>
      </c>
      <c r="E83" s="83">
        <v>77.870354165943638</v>
      </c>
      <c r="F83">
        <v>1</v>
      </c>
      <c r="G83" s="83">
        <v>11.596192913341016</v>
      </c>
      <c r="H83" s="83">
        <v>10.566190262000001</v>
      </c>
      <c r="I83" s="83">
        <v>603.44000000000074</v>
      </c>
      <c r="J83" s="83">
        <v>55.89933530119233</v>
      </c>
      <c r="K83" s="83">
        <v>1.3563159920080048</v>
      </c>
      <c r="L83" s="83">
        <v>78.961057795848291</v>
      </c>
    </row>
    <row r="84" spans="1:12">
      <c r="A84" t="s">
        <v>302</v>
      </c>
      <c r="B84">
        <v>10083</v>
      </c>
      <c r="C84" s="83">
        <v>952.88000000000034</v>
      </c>
      <c r="D84" s="83">
        <v>55.037879373776818</v>
      </c>
      <c r="E84" s="83">
        <v>74.774493571362683</v>
      </c>
      <c r="F84">
        <v>1</v>
      </c>
      <c r="G84" s="83">
        <v>9.1892007631904882</v>
      </c>
      <c r="H84" s="83">
        <v>7.9387064823699998</v>
      </c>
      <c r="I84" s="83">
        <v>603.44000000000074</v>
      </c>
      <c r="J84" s="83">
        <v>82.349046316580853</v>
      </c>
      <c r="K84" s="83">
        <v>5.4989615502111846</v>
      </c>
      <c r="L84" s="83">
        <v>73.038349508683595</v>
      </c>
    </row>
    <row r="85" spans="1:12">
      <c r="A85" t="s">
        <v>303</v>
      </c>
      <c r="B85">
        <v>10084</v>
      </c>
      <c r="C85" s="83">
        <v>960.87000000000046</v>
      </c>
      <c r="D85" s="83">
        <v>50.094830411907935</v>
      </c>
      <c r="E85" s="83">
        <v>70.116656992834507</v>
      </c>
      <c r="F85">
        <v>1</v>
      </c>
      <c r="G85" s="83">
        <v>12.35142232279123</v>
      </c>
      <c r="H85" s="83">
        <v>6.8975955562699998</v>
      </c>
      <c r="I85" s="83">
        <v>603.63000000000079</v>
      </c>
      <c r="J85" s="83">
        <v>81.789632598566698</v>
      </c>
      <c r="K85" s="83">
        <v>5.1469170734673355</v>
      </c>
      <c r="L85" s="83">
        <v>69.65302563967964</v>
      </c>
    </row>
    <row r="86" spans="1:12">
      <c r="A86" t="s">
        <v>304</v>
      </c>
      <c r="B86">
        <v>10085</v>
      </c>
      <c r="C86" s="83">
        <v>985.47000000000025</v>
      </c>
      <c r="D86" s="83">
        <v>64.414455421786329</v>
      </c>
      <c r="E86" s="83">
        <v>58.462419819212748</v>
      </c>
      <c r="F86">
        <v>1</v>
      </c>
      <c r="G86" s="83">
        <v>9.6285153077158796</v>
      </c>
      <c r="H86" s="83">
        <v>5.67656783343</v>
      </c>
      <c r="I86" s="83">
        <v>603.63000000000079</v>
      </c>
      <c r="J86" s="83">
        <v>2.0895896666864973</v>
      </c>
      <c r="K86" s="83">
        <v>7.719334471763263</v>
      </c>
      <c r="L86" s="83">
        <v>56.098856724807177</v>
      </c>
    </row>
    <row r="87" spans="1:12">
      <c r="A87" t="s">
        <v>305</v>
      </c>
      <c r="B87">
        <v>10086</v>
      </c>
      <c r="C87" s="83">
        <v>1059.9300000000003</v>
      </c>
      <c r="D87" s="83">
        <v>52.418871180410854</v>
      </c>
      <c r="E87" s="83">
        <v>73.800290395327721</v>
      </c>
      <c r="F87">
        <v>1</v>
      </c>
      <c r="G87" s="83">
        <v>11.716587923811577</v>
      </c>
      <c r="H87" s="83">
        <v>6.6902705286399993</v>
      </c>
      <c r="I87" s="83">
        <v>606.41000000000076</v>
      </c>
      <c r="J87" s="83">
        <v>1.7373606451590289</v>
      </c>
      <c r="K87" s="83">
        <v>2.8283588710694665</v>
      </c>
      <c r="L87" s="83">
        <v>74.037855000447223</v>
      </c>
    </row>
    <row r="88" spans="1:12">
      <c r="A88" t="s">
        <v>306</v>
      </c>
      <c r="B88">
        <v>10087</v>
      </c>
      <c r="C88" s="83">
        <v>1096.3300000000004</v>
      </c>
      <c r="D88" s="83">
        <v>81.916402825225944</v>
      </c>
      <c r="E88" s="83">
        <v>67.670250526160487</v>
      </c>
      <c r="F88">
        <v>3</v>
      </c>
      <c r="G88" s="83">
        <v>9.8155001543803237</v>
      </c>
      <c r="H88" s="83">
        <v>4.5547865282499993</v>
      </c>
      <c r="I88" s="83">
        <v>606.41000000000076</v>
      </c>
      <c r="J88" s="83">
        <v>1.8664567575903388</v>
      </c>
      <c r="K88" s="83">
        <v>2.4852999005880041</v>
      </c>
      <c r="L88" s="83">
        <v>71.649099810034173</v>
      </c>
    </row>
    <row r="89" spans="1:12">
      <c r="A89" t="s">
        <v>307</v>
      </c>
      <c r="B89">
        <v>10088</v>
      </c>
      <c r="C89" s="83">
        <v>1092.17</v>
      </c>
      <c r="D89" s="83">
        <v>83.917946376052086</v>
      </c>
      <c r="E89" s="83">
        <v>73.925195642958656</v>
      </c>
      <c r="F89">
        <v>3</v>
      </c>
      <c r="G89" s="83">
        <v>10.131699656147457</v>
      </c>
      <c r="H89" s="83">
        <v>3.9244657742099998</v>
      </c>
      <c r="I89" s="83">
        <v>599.46000000000083</v>
      </c>
      <c r="J89" s="83">
        <v>9.1974066300266472E-2</v>
      </c>
      <c r="K89" s="83">
        <v>3.7460996628510301</v>
      </c>
      <c r="L89" s="83">
        <v>75.881999157619447</v>
      </c>
    </row>
    <row r="90" spans="1:12">
      <c r="A90" t="s">
        <v>308</v>
      </c>
      <c r="B90">
        <v>10089</v>
      </c>
      <c r="C90" s="83">
        <v>1095.9500000000003</v>
      </c>
      <c r="D90" s="83">
        <v>86.2345850457138</v>
      </c>
      <c r="E90" s="83">
        <v>69.550548221839662</v>
      </c>
      <c r="F90">
        <v>3</v>
      </c>
      <c r="G90" s="83">
        <v>10.522299570216614</v>
      </c>
      <c r="H90" s="83">
        <v>4.2626749555099996</v>
      </c>
      <c r="I90" s="83">
        <v>599.46000000000083</v>
      </c>
      <c r="J90" s="83">
        <v>8.0450233632341883E-2</v>
      </c>
      <c r="K90" s="83">
        <v>2.4603998031680159</v>
      </c>
      <c r="L90" s="83">
        <v>71.327098738832177</v>
      </c>
    </row>
    <row r="91" spans="1:12">
      <c r="A91" t="s">
        <v>309</v>
      </c>
      <c r="B91">
        <v>10090</v>
      </c>
      <c r="C91" s="83">
        <v>1076.1700000000005</v>
      </c>
      <c r="D91" s="83">
        <v>84.069706710836826</v>
      </c>
      <c r="E91" s="83">
        <v>71.418499403108271</v>
      </c>
      <c r="F91">
        <v>3</v>
      </c>
      <c r="G91" s="83">
        <v>8.4177001621157359</v>
      </c>
      <c r="H91" s="83">
        <v>4.2700159814099994</v>
      </c>
      <c r="I91" s="83">
        <v>594.31000000000063</v>
      </c>
      <c r="J91" s="83">
        <v>5.7857278473227778</v>
      </c>
      <c r="K91" s="83">
        <v>1.3760999311950035</v>
      </c>
      <c r="L91" s="83">
        <v>74.414499669275358</v>
      </c>
    </row>
    <row r="92" spans="1:12">
      <c r="A92" t="s">
        <v>310</v>
      </c>
      <c r="B92">
        <v>10091</v>
      </c>
      <c r="C92" s="83">
        <v>1054.2700000000002</v>
      </c>
      <c r="D92" s="83">
        <v>79.956766240948454</v>
      </c>
      <c r="E92" s="83">
        <v>65.391433478804203</v>
      </c>
      <c r="F92">
        <v>3</v>
      </c>
      <c r="G92" s="83">
        <v>7.7239998650404855</v>
      </c>
      <c r="H92" s="83">
        <v>4.5707335519000001</v>
      </c>
      <c r="I92" s="83">
        <v>594.31000000000063</v>
      </c>
      <c r="J92" s="83">
        <v>5.7970574096257863</v>
      </c>
      <c r="K92" s="83">
        <v>2.9905998803760045</v>
      </c>
      <c r="L92" s="83">
        <v>69.009900518601214</v>
      </c>
    </row>
    <row r="93" spans="1:12">
      <c r="A93" t="s">
        <v>311</v>
      </c>
      <c r="B93">
        <v>10092</v>
      </c>
      <c r="C93" s="83">
        <v>1040.07</v>
      </c>
      <c r="D93" s="83">
        <v>90.40182663361999</v>
      </c>
      <c r="E93" s="83">
        <v>42.908799166859438</v>
      </c>
      <c r="F93">
        <v>3</v>
      </c>
      <c r="G93" s="83">
        <v>6.5804000037639057</v>
      </c>
      <c r="H93" s="83">
        <v>2.93134855983</v>
      </c>
      <c r="I93" s="83">
        <v>597.09000000000071</v>
      </c>
      <c r="J93" s="83">
        <v>0</v>
      </c>
      <c r="K93" s="83">
        <v>11.590898956819094</v>
      </c>
      <c r="L93" s="83">
        <v>43.638399267545523</v>
      </c>
    </row>
    <row r="94" spans="1:12">
      <c r="A94" t="s">
        <v>312</v>
      </c>
      <c r="B94">
        <v>10093</v>
      </c>
      <c r="C94" s="83">
        <v>1031.8700000000003</v>
      </c>
      <c r="D94" s="83">
        <v>86.674165649901596</v>
      </c>
      <c r="E94" s="83">
        <v>57.449156978305382</v>
      </c>
      <c r="F94">
        <v>3</v>
      </c>
      <c r="G94" s="83">
        <v>5.6934998652604403</v>
      </c>
      <c r="H94" s="83">
        <v>3.8828484560999996</v>
      </c>
      <c r="I94" s="83">
        <v>597.09000000000071</v>
      </c>
      <c r="J94" s="83">
        <v>4.408844198643938</v>
      </c>
      <c r="K94" s="83">
        <v>4.7983998080640076</v>
      </c>
      <c r="L94" s="83">
        <v>58.689601241416376</v>
      </c>
    </row>
    <row r="95" spans="1:12">
      <c r="A95" t="s">
        <v>313</v>
      </c>
      <c r="B95">
        <v>10094</v>
      </c>
      <c r="C95" s="83">
        <v>1022.1900000000002</v>
      </c>
      <c r="D95" s="83">
        <v>86.681181538117002</v>
      </c>
      <c r="E95" s="83">
        <v>63.105274821295538</v>
      </c>
      <c r="F95">
        <v>3</v>
      </c>
      <c r="G95" s="83">
        <v>7.9688000371690979</v>
      </c>
      <c r="H95" s="83">
        <v>4.48426427283</v>
      </c>
      <c r="I95" s="83">
        <v>606.85000000000082</v>
      </c>
      <c r="J95" s="83">
        <v>5.096849416411346</v>
      </c>
      <c r="K95" s="83">
        <v>6.1237997550480099</v>
      </c>
      <c r="L95" s="83">
        <v>64.7203006011908</v>
      </c>
    </row>
    <row r="96" spans="1:12">
      <c r="A96" t="s">
        <v>314</v>
      </c>
      <c r="B96">
        <v>10095</v>
      </c>
      <c r="C96" s="83">
        <v>1033.5800000000004</v>
      </c>
      <c r="D96" s="83">
        <v>87.756180964158034</v>
      </c>
      <c r="E96" s="83">
        <v>71.126530104221203</v>
      </c>
      <c r="F96">
        <v>3</v>
      </c>
      <c r="G96" s="83">
        <v>7.8911000568799246</v>
      </c>
      <c r="H96" s="83">
        <v>4.9686384990799999</v>
      </c>
      <c r="I96" s="83">
        <v>606.85000000000082</v>
      </c>
      <c r="J96" s="83">
        <v>5.0757471475498575</v>
      </c>
      <c r="K96" s="83">
        <v>4.0394996364450328</v>
      </c>
      <c r="L96" s="83">
        <v>71.121899527028802</v>
      </c>
    </row>
    <row r="97" spans="1:12">
      <c r="A97" t="s">
        <v>315</v>
      </c>
      <c r="B97">
        <v>10096</v>
      </c>
      <c r="C97" s="83">
        <v>1034.8600000000001</v>
      </c>
      <c r="D97" s="83">
        <v>84.618985651780193</v>
      </c>
      <c r="E97" s="83">
        <v>76.503015775504906</v>
      </c>
      <c r="F97">
        <v>3</v>
      </c>
      <c r="G97" s="83">
        <v>9.0369999265203056</v>
      </c>
      <c r="H97" s="83">
        <v>5.6370192441999993</v>
      </c>
      <c r="I97" s="83">
        <v>618.07000000000062</v>
      </c>
      <c r="J97" s="83">
        <v>8.1986493142256887</v>
      </c>
      <c r="K97" s="83">
        <v>2.3760999049560039</v>
      </c>
      <c r="L97" s="83">
        <v>77.714300279425927</v>
      </c>
    </row>
    <row r="98" spans="1:12">
      <c r="A98" t="s">
        <v>316</v>
      </c>
      <c r="B98">
        <v>10097</v>
      </c>
      <c r="C98" s="83">
        <v>1022.7900000000005</v>
      </c>
      <c r="D98" s="83">
        <v>79.592115984170491</v>
      </c>
      <c r="E98" s="83">
        <v>74.055804128839412</v>
      </c>
      <c r="F98">
        <v>3</v>
      </c>
      <c r="G98" s="83">
        <v>12.723700179867233</v>
      </c>
      <c r="H98" s="83">
        <v>5.8045860578599999</v>
      </c>
      <c r="I98" s="83">
        <v>618.07000000000062</v>
      </c>
      <c r="J98" s="83">
        <v>4.2298575040860777</v>
      </c>
      <c r="K98" s="83">
        <v>1.4676998679070119</v>
      </c>
      <c r="L98" s="83">
        <v>76.706299451432812</v>
      </c>
    </row>
    <row r="99" spans="1:12">
      <c r="A99" t="s">
        <v>317</v>
      </c>
      <c r="B99">
        <v>10098</v>
      </c>
      <c r="C99" s="83">
        <v>1017.7400000000005</v>
      </c>
      <c r="D99" s="83">
        <v>72.091442420540162</v>
      </c>
      <c r="E99" s="83">
        <v>74.445900697260683</v>
      </c>
      <c r="F99">
        <v>3</v>
      </c>
      <c r="G99" s="83">
        <v>12.372399675104234</v>
      </c>
      <c r="H99" s="83">
        <v>9.3193185080099994</v>
      </c>
      <c r="I99" s="83">
        <v>630.66000000000054</v>
      </c>
      <c r="J99" s="83">
        <v>3.2746598048351658</v>
      </c>
      <c r="K99" s="83">
        <v>2.1973999121040038</v>
      </c>
      <c r="L99" s="83">
        <v>73.379300676830468</v>
      </c>
    </row>
    <row r="100" spans="1:12">
      <c r="A100" t="s">
        <v>318</v>
      </c>
      <c r="B100">
        <v>10099</v>
      </c>
      <c r="C100" s="83">
        <v>1015.8900000000006</v>
      </c>
      <c r="D100" s="83">
        <v>84.614602378394181</v>
      </c>
      <c r="E100" s="83">
        <v>74.236169726253451</v>
      </c>
      <c r="F100">
        <v>3</v>
      </c>
      <c r="G100" s="83">
        <v>8.972499751475274</v>
      </c>
      <c r="H100" s="83">
        <v>4.3770095826799995</v>
      </c>
      <c r="I100" s="83">
        <v>630.66000000000054</v>
      </c>
      <c r="J100" s="83">
        <v>0.63700090872466975</v>
      </c>
      <c r="K100" s="83">
        <v>1.0699999037000087</v>
      </c>
      <c r="L100" s="83">
        <v>77.037600820615069</v>
      </c>
    </row>
    <row r="101" spans="1:12">
      <c r="A101" t="s">
        <v>319</v>
      </c>
      <c r="B101">
        <v>10100</v>
      </c>
      <c r="C101" s="83">
        <v>1024.6300000000006</v>
      </c>
      <c r="D101" s="83">
        <v>44.657536538280205</v>
      </c>
      <c r="E101" s="83">
        <v>75.92617923755958</v>
      </c>
      <c r="F101">
        <v>3</v>
      </c>
      <c r="G101" s="83">
        <v>9.1112656765630735</v>
      </c>
      <c r="H101" s="83">
        <v>8.0335617716899996</v>
      </c>
      <c r="I101" s="83">
        <v>634.28000000000054</v>
      </c>
      <c r="J101" s="83">
        <v>0.4041629159292302</v>
      </c>
      <c r="K101" s="83">
        <v>3.541874281943405</v>
      </c>
      <c r="L101" s="83">
        <v>71.109730189599475</v>
      </c>
    </row>
    <row r="102" spans="1:12">
      <c r="A102" t="s">
        <v>320</v>
      </c>
      <c r="B102">
        <v>10101</v>
      </c>
      <c r="C102" s="83">
        <v>1040.3100000000004</v>
      </c>
      <c r="D102" s="83">
        <v>60.322670558339226</v>
      </c>
      <c r="E102" s="83">
        <v>85.823868080721297</v>
      </c>
      <c r="F102">
        <v>3</v>
      </c>
      <c r="G102" s="83">
        <v>7.5020999838953397</v>
      </c>
      <c r="H102" s="83">
        <v>9.79429975581</v>
      </c>
      <c r="I102" s="83">
        <v>634.28000000000054</v>
      </c>
      <c r="J102" s="83">
        <v>1.1595400401653682</v>
      </c>
      <c r="K102" s="83">
        <v>0.1193999940300003</v>
      </c>
      <c r="L102" s="83">
        <v>81.722600077870979</v>
      </c>
    </row>
    <row r="103" spans="1:12">
      <c r="A103" t="s">
        <v>321</v>
      </c>
      <c r="B103">
        <v>10102</v>
      </c>
      <c r="C103" s="83">
        <v>1025.0300000000002</v>
      </c>
      <c r="D103" s="83">
        <v>64.471678705983607</v>
      </c>
      <c r="E103" s="83">
        <v>79.510940758175067</v>
      </c>
      <c r="F103">
        <v>3</v>
      </c>
      <c r="G103" s="83">
        <v>7.6379999954804951</v>
      </c>
      <c r="H103" s="83">
        <v>6.5601916096899995</v>
      </c>
      <c r="I103" s="83">
        <v>623.38000000000056</v>
      </c>
      <c r="J103" s="83">
        <v>4.7565083426578916</v>
      </c>
      <c r="K103" s="83">
        <v>4.2337998306480067</v>
      </c>
      <c r="L103" s="83">
        <v>78.453300074870711</v>
      </c>
    </row>
    <row r="104" spans="1:12">
      <c r="A104" t="s">
        <v>322</v>
      </c>
      <c r="B104">
        <v>10103</v>
      </c>
      <c r="C104" s="83">
        <v>1042.7900000000002</v>
      </c>
      <c r="D104" s="83">
        <v>13.144993439636664</v>
      </c>
      <c r="E104" s="83">
        <v>83.305157995780917</v>
      </c>
      <c r="F104">
        <v>3</v>
      </c>
      <c r="G104" s="83">
        <v>5.9021488304404599</v>
      </c>
      <c r="H104" s="83">
        <v>25.106839360400002</v>
      </c>
      <c r="I104" s="83">
        <v>623.38000000000056</v>
      </c>
      <c r="J104" s="83">
        <v>3.5327600479822059</v>
      </c>
      <c r="K104" s="83">
        <v>3.0955484269298164</v>
      </c>
      <c r="L104" s="83">
        <v>74.773469905584065</v>
      </c>
    </row>
    <row r="105" spans="1:12">
      <c r="A105" t="s">
        <v>323</v>
      </c>
      <c r="B105">
        <v>10104</v>
      </c>
      <c r="C105" s="83">
        <v>963.47000000000048</v>
      </c>
      <c r="D105" s="83">
        <v>98.220797582689002</v>
      </c>
      <c r="E105" s="83">
        <v>6.1911674854666687</v>
      </c>
      <c r="F105">
        <v>1</v>
      </c>
      <c r="G105" s="83">
        <v>5.2227828027381422</v>
      </c>
      <c r="H105" s="83">
        <v>1.6960704291399999</v>
      </c>
      <c r="I105" s="83">
        <v>603.24000000000069</v>
      </c>
      <c r="J105" s="83">
        <v>0</v>
      </c>
      <c r="K105" s="83">
        <v>6.1633991956771865</v>
      </c>
      <c r="L105" s="83">
        <v>5.8150814502215011</v>
      </c>
    </row>
    <row r="106" spans="1:12">
      <c r="A106" t="s">
        <v>324</v>
      </c>
      <c r="B106">
        <v>10105</v>
      </c>
      <c r="C106" s="83">
        <v>939.50000000000023</v>
      </c>
      <c r="D106" s="83">
        <v>95.065819836037065</v>
      </c>
      <c r="E106" s="83">
        <v>32.458846328384254</v>
      </c>
      <c r="F106">
        <v>1</v>
      </c>
      <c r="G106" s="83">
        <v>6.0529037115461071</v>
      </c>
      <c r="H106" s="83">
        <v>2.4257830542500001</v>
      </c>
      <c r="I106" s="83">
        <v>603.24000000000069</v>
      </c>
      <c r="J106" s="83">
        <v>1.2513997512768862</v>
      </c>
      <c r="K106" s="83">
        <v>12.298004690400582</v>
      </c>
      <c r="L106" s="83">
        <v>26.723489103255758</v>
      </c>
    </row>
    <row r="107" spans="1:12">
      <c r="A107" t="s">
        <v>325</v>
      </c>
      <c r="B107">
        <v>10106</v>
      </c>
      <c r="C107" s="83">
        <v>937.34000000000049</v>
      </c>
      <c r="D107" s="83">
        <v>52.659062078475976</v>
      </c>
      <c r="E107" s="83">
        <v>56.910023356825825</v>
      </c>
      <c r="F107">
        <v>1</v>
      </c>
      <c r="G107" s="83">
        <v>7.146734156079205</v>
      </c>
      <c r="H107" s="83">
        <v>7.7529198422799999</v>
      </c>
      <c r="I107" s="83">
        <v>602.4800000000007</v>
      </c>
      <c r="J107" s="83">
        <v>3.5019970554389603</v>
      </c>
      <c r="K107" s="83">
        <v>15.01950181109869</v>
      </c>
      <c r="L107" s="83">
        <v>43.575831389500557</v>
      </c>
    </row>
    <row r="108" spans="1:12">
      <c r="A108" t="s">
        <v>326</v>
      </c>
      <c r="B108">
        <v>10107</v>
      </c>
      <c r="C108" s="83">
        <v>947.70000000000039</v>
      </c>
      <c r="D108" s="83">
        <v>10.131022231017306</v>
      </c>
      <c r="E108" s="83">
        <v>80.206361094717806</v>
      </c>
      <c r="F108">
        <v>1</v>
      </c>
      <c r="G108" s="83">
        <v>9.8899115385526972</v>
      </c>
      <c r="H108" s="83">
        <v>11.6783470854</v>
      </c>
      <c r="I108" s="83">
        <v>602.4800000000007</v>
      </c>
      <c r="J108" s="83">
        <v>8.5977154823471729</v>
      </c>
      <c r="K108" s="83">
        <v>2.7656923357676675</v>
      </c>
      <c r="L108" s="83">
        <v>75.433593114654613</v>
      </c>
    </row>
    <row r="109" spans="1:12">
      <c r="A109" t="s">
        <v>327</v>
      </c>
      <c r="B109">
        <v>10108</v>
      </c>
      <c r="C109" s="83">
        <v>936.71</v>
      </c>
      <c r="D109" s="83">
        <v>39.386812286842058</v>
      </c>
      <c r="E109" s="83">
        <v>56.364313119868193</v>
      </c>
      <c r="F109">
        <v>1</v>
      </c>
      <c r="G109" s="83">
        <v>20.60260392954239</v>
      </c>
      <c r="H109" s="83">
        <v>7.9607618038399997</v>
      </c>
      <c r="I109" s="83">
        <v>603.44000000000074</v>
      </c>
      <c r="J109" s="83">
        <v>72.575019760306091</v>
      </c>
      <c r="K109" s="83">
        <v>10.37050611516864</v>
      </c>
      <c r="L109" s="83">
        <v>53.687879762305514</v>
      </c>
    </row>
    <row r="110" spans="1:12">
      <c r="A110" t="s">
        <v>328</v>
      </c>
      <c r="B110">
        <v>10109</v>
      </c>
      <c r="C110" s="83">
        <v>933.30000000000041</v>
      </c>
      <c r="D110" s="83">
        <v>51.01911757398441</v>
      </c>
      <c r="E110" s="83">
        <v>71.93898123535196</v>
      </c>
      <c r="F110">
        <v>1</v>
      </c>
      <c r="G110" s="83">
        <v>11.380911428421015</v>
      </c>
      <c r="H110" s="83">
        <v>7.4717253661099994</v>
      </c>
      <c r="I110" s="83">
        <v>603.44000000000074</v>
      </c>
      <c r="J110" s="83">
        <v>87.462341760123678</v>
      </c>
      <c r="K110" s="83">
        <v>4.2966423696838252</v>
      </c>
      <c r="L110" s="83">
        <v>73.326136413940731</v>
      </c>
    </row>
    <row r="111" spans="1:12">
      <c r="A111" t="s">
        <v>329</v>
      </c>
      <c r="B111">
        <v>10110</v>
      </c>
      <c r="C111" s="83">
        <v>952.59000000000015</v>
      </c>
      <c r="D111" s="83">
        <v>21.688977493189046</v>
      </c>
      <c r="E111" s="83">
        <v>82.525252744455557</v>
      </c>
      <c r="F111">
        <v>1</v>
      </c>
      <c r="G111" s="83">
        <v>9.6067998889313024</v>
      </c>
      <c r="H111" s="83">
        <v>9.6715856372999998</v>
      </c>
      <c r="I111" s="83">
        <v>603.63000000000079</v>
      </c>
      <c r="J111" s="83">
        <v>78.336483146981607</v>
      </c>
      <c r="K111" s="83">
        <v>1.6036999839630002</v>
      </c>
      <c r="L111" s="83">
        <v>82.751300243486341</v>
      </c>
    </row>
    <row r="112" spans="1:12">
      <c r="A112" t="s">
        <v>330</v>
      </c>
      <c r="B112">
        <v>10111</v>
      </c>
      <c r="C112" s="83">
        <v>971.68000000000029</v>
      </c>
      <c r="D112" s="83">
        <v>72.45284526917473</v>
      </c>
      <c r="E112" s="83">
        <v>49.673364963242989</v>
      </c>
      <c r="F112">
        <v>1</v>
      </c>
      <c r="G112" s="83">
        <v>7.3158000234737433</v>
      </c>
      <c r="H112" s="83">
        <v>4.7992969216699999</v>
      </c>
      <c r="I112" s="83">
        <v>603.63000000000079</v>
      </c>
      <c r="J112" s="83">
        <v>5.1819134098226662</v>
      </c>
      <c r="K112" s="83">
        <v>10.58830031764901</v>
      </c>
      <c r="L112" s="83">
        <v>47.840699055226978</v>
      </c>
    </row>
    <row r="113" spans="1:12">
      <c r="A113" t="s">
        <v>331</v>
      </c>
      <c r="B113">
        <v>10112</v>
      </c>
      <c r="C113" s="83">
        <v>999.87000000000046</v>
      </c>
      <c r="D113" s="83">
        <v>82.732716994788689</v>
      </c>
      <c r="E113" s="83">
        <v>67.397481709145538</v>
      </c>
      <c r="F113">
        <v>1</v>
      </c>
      <c r="G113" s="83">
        <v>7.8821999986436122</v>
      </c>
      <c r="H113" s="83">
        <v>4.4778254990299997</v>
      </c>
      <c r="I113" s="83">
        <v>606.41000000000076</v>
      </c>
      <c r="J113" s="83">
        <v>0.71294857233618436</v>
      </c>
      <c r="K113" s="83">
        <v>5.8592001171840025</v>
      </c>
      <c r="L113" s="83">
        <v>69.250400098007816</v>
      </c>
    </row>
    <row r="114" spans="1:12">
      <c r="A114" t="s">
        <v>332</v>
      </c>
      <c r="B114">
        <v>10113</v>
      </c>
      <c r="C114" s="83">
        <v>1025.6100000000004</v>
      </c>
      <c r="D114" s="83">
        <v>93.67041634821598</v>
      </c>
      <c r="E114" s="83">
        <v>47.899663227133885</v>
      </c>
      <c r="F114">
        <v>3</v>
      </c>
      <c r="G114" s="83">
        <v>7.5339000710166788</v>
      </c>
      <c r="H114" s="83">
        <v>3.2453885304999996</v>
      </c>
      <c r="I114" s="83">
        <v>606.41000000000076</v>
      </c>
      <c r="J114" s="83">
        <v>0</v>
      </c>
      <c r="K114" s="83">
        <v>3.7982001139460033</v>
      </c>
      <c r="L114" s="83">
        <v>49.350400220510494</v>
      </c>
    </row>
    <row r="115" spans="1:12">
      <c r="A115" t="s">
        <v>333</v>
      </c>
      <c r="B115">
        <v>10114</v>
      </c>
      <c r="C115" s="83">
        <v>1044.3499999999999</v>
      </c>
      <c r="D115" s="83">
        <v>89.008597235529152</v>
      </c>
      <c r="E115" s="83">
        <v>63.122443504928661</v>
      </c>
      <c r="F115">
        <v>3</v>
      </c>
      <c r="G115" s="83">
        <v>6.5371000132574357</v>
      </c>
      <c r="H115" s="83">
        <v>2.9474284207699997</v>
      </c>
      <c r="I115" s="83">
        <v>599.46000000000083</v>
      </c>
      <c r="J115" s="83">
        <v>5.0559281096192212E-2</v>
      </c>
      <c r="K115" s="83">
        <v>3.4548999309020014</v>
      </c>
      <c r="L115" s="83">
        <v>63.410099336795724</v>
      </c>
    </row>
    <row r="116" spans="1:12">
      <c r="A116" t="s">
        <v>334</v>
      </c>
      <c r="B116">
        <v>10115</v>
      </c>
      <c r="C116" s="83">
        <v>1087.2400000000002</v>
      </c>
      <c r="D116" s="83">
        <v>66.724808654769475</v>
      </c>
      <c r="E116" s="83">
        <v>52.169109046004749</v>
      </c>
      <c r="F116">
        <v>3</v>
      </c>
      <c r="G116" s="83">
        <v>24.0208003847908</v>
      </c>
      <c r="H116" s="83">
        <v>4.5954767975299999</v>
      </c>
      <c r="I116" s="83">
        <v>599.46000000000083</v>
      </c>
      <c r="J116" s="83">
        <v>2.1550982886337651</v>
      </c>
      <c r="K116" s="83">
        <v>3.6317999636820004</v>
      </c>
      <c r="L116" s="83">
        <v>54.203799146964435</v>
      </c>
    </row>
    <row r="117" spans="1:12">
      <c r="A117" t="s">
        <v>335</v>
      </c>
      <c r="B117">
        <v>10116</v>
      </c>
      <c r="C117" s="83">
        <v>1063.5400000000002</v>
      </c>
      <c r="D117" s="83">
        <v>77.810554838808599</v>
      </c>
      <c r="E117" s="83">
        <v>45.090943345517836</v>
      </c>
      <c r="F117">
        <v>3</v>
      </c>
      <c r="G117" s="83">
        <v>13.183199609663882</v>
      </c>
      <c r="H117" s="83">
        <v>4.81614637839</v>
      </c>
      <c r="I117" s="83">
        <v>594.31000000000063</v>
      </c>
      <c r="J117" s="83">
        <v>2.2779791146262927</v>
      </c>
      <c r="K117" s="83">
        <v>4.0634000812680018</v>
      </c>
      <c r="L117" s="83">
        <v>47.298499441967927</v>
      </c>
    </row>
    <row r="118" spans="1:12">
      <c r="A118" t="s">
        <v>336</v>
      </c>
      <c r="B118">
        <v>10117</v>
      </c>
      <c r="C118" s="83">
        <v>1040.5400000000002</v>
      </c>
      <c r="D118" s="83">
        <v>88.330478438923706</v>
      </c>
      <c r="E118" s="83">
        <v>52.907001558613928</v>
      </c>
      <c r="F118">
        <v>3</v>
      </c>
      <c r="G118" s="83">
        <v>7.7250997897528819</v>
      </c>
      <c r="H118" s="83">
        <v>3.7058046365899999</v>
      </c>
      <c r="I118" s="83">
        <v>594.31000000000063</v>
      </c>
      <c r="J118" s="83">
        <v>2.152092501044724</v>
      </c>
      <c r="K118" s="83">
        <v>6.3189001895670058</v>
      </c>
      <c r="L118" s="83">
        <v>53.645800589371504</v>
      </c>
    </row>
    <row r="119" spans="1:12">
      <c r="A119" t="s">
        <v>337</v>
      </c>
      <c r="B119">
        <v>10118</v>
      </c>
      <c r="C119" s="83">
        <v>1034.77</v>
      </c>
      <c r="D119" s="83">
        <v>84.897106526150367</v>
      </c>
      <c r="E119" s="83">
        <v>57.986829265972105</v>
      </c>
      <c r="F119">
        <v>3</v>
      </c>
      <c r="G119" s="83">
        <v>6.0562000538754512</v>
      </c>
      <c r="H119" s="83">
        <v>3.00176365488</v>
      </c>
      <c r="I119" s="83">
        <v>597.09000000000071</v>
      </c>
      <c r="J119" s="83">
        <v>4.2760511690251933E-2</v>
      </c>
      <c r="K119" s="83">
        <v>5.2026998959460027</v>
      </c>
      <c r="L119" s="83">
        <v>60.39890003802271</v>
      </c>
    </row>
    <row r="120" spans="1:12">
      <c r="A120" t="s">
        <v>338</v>
      </c>
      <c r="B120">
        <v>10119</v>
      </c>
      <c r="C120" s="83">
        <v>1041.1699999999998</v>
      </c>
      <c r="D120" s="83">
        <v>92.779184020594812</v>
      </c>
      <c r="E120" s="83">
        <v>57.841256949991418</v>
      </c>
      <c r="F120">
        <v>3</v>
      </c>
      <c r="G120" s="83">
        <v>8.5654002469618966</v>
      </c>
      <c r="H120" s="83">
        <v>3.11196681322</v>
      </c>
      <c r="I120" s="83">
        <v>597.09000000000071</v>
      </c>
      <c r="J120" s="83">
        <v>4.2882448106241727E-2</v>
      </c>
      <c r="K120" s="83">
        <v>3.2422000972660028</v>
      </c>
      <c r="L120" s="83">
        <v>60.587099921616193</v>
      </c>
    </row>
    <row r="121" spans="1:12">
      <c r="A121" t="s">
        <v>339</v>
      </c>
      <c r="B121">
        <v>10120</v>
      </c>
      <c r="C121" s="83">
        <v>1045.9600000000003</v>
      </c>
      <c r="D121" s="83">
        <v>88.558321204031074</v>
      </c>
      <c r="E121" s="83">
        <v>60.0709415284961</v>
      </c>
      <c r="F121">
        <v>3</v>
      </c>
      <c r="G121" s="83">
        <v>13.181799934453833</v>
      </c>
      <c r="H121" s="83">
        <v>3.8535809202499998</v>
      </c>
      <c r="I121" s="83">
        <v>606.85000000000082</v>
      </c>
      <c r="J121" s="83">
        <v>0.146204494787816</v>
      </c>
      <c r="K121" s="83">
        <v>3.6643001099290036</v>
      </c>
      <c r="L121" s="83">
        <v>63.552999902594131</v>
      </c>
    </row>
    <row r="122" spans="1:12">
      <c r="A122" t="s">
        <v>340</v>
      </c>
      <c r="B122">
        <v>10121</v>
      </c>
      <c r="C122" s="83">
        <v>1041.6900000000003</v>
      </c>
      <c r="D122" s="83">
        <v>91.251013739705911</v>
      </c>
      <c r="E122" s="83">
        <v>46.382521548602838</v>
      </c>
      <c r="F122">
        <v>3</v>
      </c>
      <c r="G122" s="83">
        <v>5.5859000382817241</v>
      </c>
      <c r="H122" s="83">
        <v>3.4301078145999999</v>
      </c>
      <c r="I122" s="83">
        <v>606.85000000000082</v>
      </c>
      <c r="J122" s="83">
        <v>2.2201726092709432E-2</v>
      </c>
      <c r="K122" s="83">
        <v>6.0523998789520022</v>
      </c>
      <c r="L122" s="83">
        <v>46.195499933089096</v>
      </c>
    </row>
    <row r="123" spans="1:12">
      <c r="A123" t="s">
        <v>341</v>
      </c>
      <c r="B123">
        <v>10122</v>
      </c>
      <c r="C123" s="83">
        <v>1039.0400000000002</v>
      </c>
      <c r="D123" s="83">
        <v>87.143068908167407</v>
      </c>
      <c r="E123" s="83">
        <v>61.072129621686528</v>
      </c>
      <c r="F123">
        <v>3</v>
      </c>
      <c r="G123" s="83">
        <v>8.8074000652218469</v>
      </c>
      <c r="H123" s="83">
        <v>4.8989292427599995</v>
      </c>
      <c r="I123" s="83">
        <v>618.07000000000062</v>
      </c>
      <c r="J123" s="83">
        <v>4.2615320497237583</v>
      </c>
      <c r="K123" s="83">
        <v>2.8843000865290023</v>
      </c>
      <c r="L123" s="83">
        <v>62.117900206536049</v>
      </c>
    </row>
    <row r="124" spans="1:12">
      <c r="A124" t="s">
        <v>342</v>
      </c>
      <c r="B124">
        <v>10123</v>
      </c>
      <c r="C124" s="83">
        <v>1031.7700000000002</v>
      </c>
      <c r="D124" s="83">
        <v>60.346062598760497</v>
      </c>
      <c r="E124" s="83">
        <v>80.053304096021549</v>
      </c>
      <c r="F124">
        <v>3</v>
      </c>
      <c r="G124" s="83">
        <v>9.3990001180192007</v>
      </c>
      <c r="H124" s="83">
        <v>5.6628514154799996</v>
      </c>
      <c r="I124" s="83">
        <v>618.07000000000062</v>
      </c>
      <c r="J124" s="83">
        <v>13.708383969468285</v>
      </c>
      <c r="K124" s="83">
        <v>1.6250999674980009</v>
      </c>
      <c r="L124" s="83">
        <v>80.223200106535572</v>
      </c>
    </row>
    <row r="125" spans="1:12">
      <c r="A125" t="s">
        <v>343</v>
      </c>
      <c r="B125">
        <v>10124</v>
      </c>
      <c r="C125" s="83">
        <v>1022.4100000000005</v>
      </c>
      <c r="D125" s="83">
        <v>77.076223526218357</v>
      </c>
      <c r="E125" s="83">
        <v>80.992208815274182</v>
      </c>
      <c r="F125">
        <v>3</v>
      </c>
      <c r="G125" s="83">
        <v>6.7665999329978783</v>
      </c>
      <c r="H125" s="83">
        <v>5.5184514261599995</v>
      </c>
      <c r="I125" s="83">
        <v>630.66000000000054</v>
      </c>
      <c r="J125" s="83">
        <v>8.2325098964812913</v>
      </c>
      <c r="K125" s="83">
        <v>1.5728000471840013</v>
      </c>
      <c r="L125" s="83">
        <v>80.905999419181157</v>
      </c>
    </row>
    <row r="126" spans="1:12">
      <c r="A126" t="s">
        <v>344</v>
      </c>
      <c r="B126">
        <v>10125</v>
      </c>
      <c r="C126" s="83">
        <v>1018.8700000000006</v>
      </c>
      <c r="D126" s="83">
        <v>84.189046330512156</v>
      </c>
      <c r="E126" s="83">
        <v>61.702023773455586</v>
      </c>
      <c r="F126">
        <v>3</v>
      </c>
      <c r="G126" s="83">
        <v>6.4130999197376966</v>
      </c>
      <c r="H126" s="83">
        <v>4.0044193673899997</v>
      </c>
      <c r="I126" s="83">
        <v>630.66000000000054</v>
      </c>
      <c r="J126" s="83">
        <v>29.568031385360172</v>
      </c>
      <c r="K126" s="83">
        <v>3.6896999262060013</v>
      </c>
      <c r="L126" s="83">
        <v>60.936401063273557</v>
      </c>
    </row>
    <row r="127" spans="1:12">
      <c r="A127" t="s">
        <v>345</v>
      </c>
      <c r="B127">
        <v>10126</v>
      </c>
      <c r="C127" s="83">
        <v>1035.2600000000007</v>
      </c>
      <c r="D127" s="83">
        <v>44.679510759394169</v>
      </c>
      <c r="E127" s="83">
        <v>64.324237841623116</v>
      </c>
      <c r="F127">
        <v>3</v>
      </c>
      <c r="G127" s="83">
        <v>6.8186000395578157</v>
      </c>
      <c r="H127" s="83">
        <v>4.0171108898999996</v>
      </c>
      <c r="I127" s="83">
        <v>634.28000000000054</v>
      </c>
      <c r="J127" s="83">
        <v>1.2719564894630901</v>
      </c>
      <c r="K127" s="83">
        <v>5.0667001520010047</v>
      </c>
      <c r="L127" s="83">
        <v>63.444198854322131</v>
      </c>
    </row>
    <row r="128" spans="1:12">
      <c r="A128" t="s">
        <v>346</v>
      </c>
      <c r="B128">
        <v>10127</v>
      </c>
      <c r="C128" s="83">
        <v>1054.6700000000005</v>
      </c>
      <c r="D128" s="83">
        <v>79.847469506233381</v>
      </c>
      <c r="E128" s="83">
        <v>73.380291443699974</v>
      </c>
      <c r="F128">
        <v>3</v>
      </c>
      <c r="G128" s="83">
        <v>8.173800098475704</v>
      </c>
      <c r="H128" s="83">
        <v>4.8098151316599997</v>
      </c>
      <c r="I128" s="83">
        <v>634.28000000000054</v>
      </c>
      <c r="J128" s="83">
        <v>1.7779539567576059</v>
      </c>
      <c r="K128" s="83">
        <v>1.7329000346580008</v>
      </c>
      <c r="L128" s="83">
        <v>70.767600019353239</v>
      </c>
    </row>
    <row r="129" spans="1:12">
      <c r="A129" t="s">
        <v>347</v>
      </c>
      <c r="B129">
        <v>10128</v>
      </c>
      <c r="C129" s="83">
        <v>1062.5900000000004</v>
      </c>
      <c r="D129" s="83">
        <v>71.13709565123051</v>
      </c>
      <c r="E129" s="83">
        <v>75.512306631630651</v>
      </c>
      <c r="F129">
        <v>3</v>
      </c>
      <c r="G129" s="83">
        <v>6.038399875151752</v>
      </c>
      <c r="H129" s="83">
        <v>5.1032345081099999</v>
      </c>
      <c r="I129" s="83">
        <v>623.38000000000056</v>
      </c>
      <c r="J129" s="83">
        <v>2.8256309727277591</v>
      </c>
      <c r="K129" s="83">
        <v>5.8045001741350051</v>
      </c>
      <c r="L129" s="83">
        <v>75.054100070626134</v>
      </c>
    </row>
    <row r="130" spans="1:12">
      <c r="A130" t="s">
        <v>348</v>
      </c>
      <c r="B130">
        <v>10129</v>
      </c>
      <c r="C130" s="83">
        <v>1072.0700000000004</v>
      </c>
      <c r="D130" s="83">
        <v>65.017525266345032</v>
      </c>
      <c r="E130" s="83">
        <v>70.724724250141875</v>
      </c>
      <c r="F130">
        <v>3</v>
      </c>
      <c r="G130" s="83">
        <v>14.599667570652663</v>
      </c>
      <c r="H130" s="83">
        <v>12.5031660222</v>
      </c>
      <c r="I130" s="83">
        <v>623.38000000000056</v>
      </c>
      <c r="J130" s="83">
        <v>3.2976669044438358</v>
      </c>
      <c r="K130" s="83">
        <v>1.9191672985426418</v>
      </c>
      <c r="L130" s="83">
        <v>68.145644761276287</v>
      </c>
    </row>
    <row r="131" spans="1:12">
      <c r="A131" t="s">
        <v>349</v>
      </c>
      <c r="B131">
        <v>10130</v>
      </c>
      <c r="C131" s="83">
        <v>938.8900000000001</v>
      </c>
      <c r="D131" s="83">
        <v>96.477927859432739</v>
      </c>
      <c r="E131" s="83">
        <v>18.993163408541029</v>
      </c>
      <c r="F131">
        <v>1</v>
      </c>
      <c r="G131" s="83">
        <v>5.7403572285922762</v>
      </c>
      <c r="H131" s="83">
        <v>2.5463299909399999</v>
      </c>
      <c r="I131" s="83">
        <v>609.4800000000007</v>
      </c>
      <c r="J131" s="83">
        <v>0</v>
      </c>
      <c r="K131" s="83">
        <v>10.402769434419222</v>
      </c>
      <c r="L131" s="83">
        <v>16.098580985857165</v>
      </c>
    </row>
    <row r="132" spans="1:12">
      <c r="A132" t="s">
        <v>350</v>
      </c>
      <c r="B132">
        <v>10131</v>
      </c>
      <c r="C132" s="83">
        <v>884.02000000000021</v>
      </c>
      <c r="D132" s="83">
        <v>93.615967920582449</v>
      </c>
      <c r="E132" s="83">
        <v>61.990506417495958</v>
      </c>
      <c r="F132">
        <v>1</v>
      </c>
      <c r="G132" s="83">
        <v>5.5265920927448722</v>
      </c>
      <c r="H132" s="83">
        <v>2.8235651647699997</v>
      </c>
      <c r="I132" s="83">
        <v>609.4800000000007</v>
      </c>
      <c r="J132" s="83">
        <v>1.0517777160049691</v>
      </c>
      <c r="K132" s="83">
        <v>13.567048659965467</v>
      </c>
      <c r="L132" s="83">
        <v>51.884799424492513</v>
      </c>
    </row>
    <row r="133" spans="1:12">
      <c r="A133" t="s">
        <v>351</v>
      </c>
      <c r="B133">
        <v>10132</v>
      </c>
      <c r="C133" s="83">
        <v>883.23000000000013</v>
      </c>
      <c r="D133" s="83">
        <v>100.48184935896434</v>
      </c>
      <c r="E133" s="83">
        <v>61.975960563490688</v>
      </c>
      <c r="F133">
        <v>1</v>
      </c>
      <c r="G133" s="83">
        <v>4.8978461611167825</v>
      </c>
      <c r="H133" s="83">
        <v>1.8752388862499998</v>
      </c>
      <c r="I133" s="83">
        <v>607.16000000000099</v>
      </c>
      <c r="J133" s="83">
        <v>0</v>
      </c>
      <c r="K133" s="83">
        <v>63.118045168738689</v>
      </c>
      <c r="L133" s="83">
        <v>6.6992568988131236</v>
      </c>
    </row>
    <row r="134" spans="1:12">
      <c r="A134" t="s">
        <v>352</v>
      </c>
      <c r="B134">
        <v>10133</v>
      </c>
      <c r="C134" s="83">
        <v>901.74000000000046</v>
      </c>
      <c r="D134" s="83">
        <v>78.453006167499694</v>
      </c>
      <c r="E134" s="83">
        <v>39.700494480926757</v>
      </c>
      <c r="F134">
        <v>1</v>
      </c>
      <c r="G134" s="83">
        <v>9.8956641532525769</v>
      </c>
      <c r="H134" s="83">
        <v>4.8962805924600001</v>
      </c>
      <c r="I134" s="83">
        <v>607.16000000000099</v>
      </c>
      <c r="J134" s="83">
        <v>64.956673377361739</v>
      </c>
      <c r="K134" s="83">
        <v>35.305024041422207</v>
      </c>
      <c r="L134" s="83">
        <v>23.828261022142438</v>
      </c>
    </row>
    <row r="135" spans="1:12">
      <c r="A135" t="s">
        <v>353</v>
      </c>
      <c r="B135">
        <v>10134</v>
      </c>
      <c r="C135" s="83">
        <v>895.28000000000009</v>
      </c>
      <c r="D135" s="83">
        <v>31.046090834689618</v>
      </c>
      <c r="E135" s="83">
        <v>71.106232829078806</v>
      </c>
      <c r="F135">
        <v>1</v>
      </c>
      <c r="G135" s="83">
        <v>10.886360291278564</v>
      </c>
      <c r="H135" s="83">
        <v>9.4445997399999992</v>
      </c>
      <c r="I135" s="83">
        <v>601.97000000000082</v>
      </c>
      <c r="J135" s="83">
        <v>85.653912030116757</v>
      </c>
      <c r="K135" s="83">
        <v>7.5329764465473019</v>
      </c>
      <c r="L135" s="83">
        <v>68.33552728280452</v>
      </c>
    </row>
    <row r="136" spans="1:12">
      <c r="A136" t="s">
        <v>354</v>
      </c>
      <c r="B136">
        <v>10135</v>
      </c>
      <c r="C136" s="83">
        <v>902.43000000000052</v>
      </c>
      <c r="D136" s="83">
        <v>30.123291254966034</v>
      </c>
      <c r="E136" s="83">
        <v>79.029192596845419</v>
      </c>
      <c r="F136">
        <v>1</v>
      </c>
      <c r="G136" s="83">
        <v>8.959506697276268</v>
      </c>
      <c r="H136" s="83">
        <v>8.3704158118199992</v>
      </c>
      <c r="I136" s="83">
        <v>601.97000000000082</v>
      </c>
      <c r="J136" s="83">
        <v>72.154803227519906</v>
      </c>
      <c r="K136" s="83">
        <v>2.3879970094529512</v>
      </c>
      <c r="L136" s="83">
        <v>78.356955406815487</v>
      </c>
    </row>
    <row r="137" spans="1:12">
      <c r="A137" t="s">
        <v>355</v>
      </c>
      <c r="B137">
        <v>10136</v>
      </c>
      <c r="C137" s="83">
        <v>938.33000000000015</v>
      </c>
      <c r="D137" s="83">
        <v>53.551995083775012</v>
      </c>
      <c r="E137" s="83">
        <v>67.978458180105633</v>
      </c>
      <c r="F137">
        <v>1</v>
      </c>
      <c r="G137" s="83">
        <v>15.318323304631575</v>
      </c>
      <c r="H137" s="83">
        <v>6.6080736368399995</v>
      </c>
      <c r="I137" s="83">
        <v>597.90000000000077</v>
      </c>
      <c r="J137" s="83">
        <v>54.581289315795921</v>
      </c>
      <c r="K137" s="83">
        <v>3.1850321302903515</v>
      </c>
      <c r="L137" s="83">
        <v>66.216862263198507</v>
      </c>
    </row>
    <row r="138" spans="1:12">
      <c r="A138" t="s">
        <v>356</v>
      </c>
      <c r="B138">
        <v>10137</v>
      </c>
      <c r="C138" s="83">
        <v>947.79999999999961</v>
      </c>
      <c r="D138" s="83">
        <v>75.478508956811737</v>
      </c>
      <c r="E138" s="83">
        <v>56.427104834314868</v>
      </c>
      <c r="F138">
        <v>1</v>
      </c>
      <c r="G138" s="83">
        <v>18.947225107568809</v>
      </c>
      <c r="H138" s="83">
        <v>5.2303444738399998</v>
      </c>
      <c r="I138" s="83">
        <v>597.90000000000077</v>
      </c>
      <c r="J138" s="83">
        <v>3.5238341489198488</v>
      </c>
      <c r="K138" s="83">
        <v>3.7318937840843622</v>
      </c>
      <c r="L138" s="83">
        <v>58.169518882845651</v>
      </c>
    </row>
    <row r="139" spans="1:12">
      <c r="A139" t="s">
        <v>357</v>
      </c>
      <c r="B139">
        <v>10138</v>
      </c>
      <c r="C139" s="83">
        <v>963.5800000000005</v>
      </c>
      <c r="D139" s="83">
        <v>85.947461373320778</v>
      </c>
      <c r="E139" s="83">
        <v>69.623430481496129</v>
      </c>
      <c r="F139">
        <v>1</v>
      </c>
      <c r="G139" s="83">
        <v>8.5605999228182714</v>
      </c>
      <c r="H139" s="83">
        <v>4.4940096615799998</v>
      </c>
      <c r="I139" s="83">
        <v>597.94000000000074</v>
      </c>
      <c r="J139" s="83">
        <v>0.34338852506386108</v>
      </c>
      <c r="K139" s="83">
        <v>8.3206002496180069</v>
      </c>
      <c r="L139" s="83">
        <v>71.121400230640873</v>
      </c>
    </row>
    <row r="140" spans="1:12">
      <c r="A140" t="s">
        <v>358</v>
      </c>
      <c r="B140">
        <v>10139</v>
      </c>
      <c r="C140" s="83">
        <v>970.80000000000018</v>
      </c>
      <c r="D140" s="83">
        <v>94.686140896793816</v>
      </c>
      <c r="E140" s="83">
        <v>46.785774350866753</v>
      </c>
      <c r="F140">
        <v>3</v>
      </c>
      <c r="G140" s="83">
        <v>5.8477997919124141</v>
      </c>
      <c r="H140" s="83">
        <v>2.9442032086299998</v>
      </c>
      <c r="I140" s="83">
        <v>597.94000000000074</v>
      </c>
      <c r="J140" s="83">
        <v>0</v>
      </c>
      <c r="K140" s="83">
        <v>14.833500593340023</v>
      </c>
      <c r="L140" s="83">
        <v>48.501700400066369</v>
      </c>
    </row>
    <row r="141" spans="1:12">
      <c r="A141" t="s">
        <v>359</v>
      </c>
      <c r="B141">
        <v>10140</v>
      </c>
      <c r="C141" s="83">
        <v>983.00000000000023</v>
      </c>
      <c r="D141" s="83">
        <v>95.984284908383799</v>
      </c>
      <c r="E141" s="83">
        <v>51.938950376024451</v>
      </c>
      <c r="F141">
        <v>3</v>
      </c>
      <c r="G141" s="83">
        <v>8.8974000800260171</v>
      </c>
      <c r="H141" s="83">
        <v>3.0224183842399999</v>
      </c>
      <c r="I141" s="83">
        <v>592.7300000000007</v>
      </c>
      <c r="J141" s="83">
        <v>0</v>
      </c>
      <c r="K141" s="83">
        <v>2.2760999772390003</v>
      </c>
      <c r="L141" s="83">
        <v>53.270299267293076</v>
      </c>
    </row>
    <row r="142" spans="1:12">
      <c r="A142" t="s">
        <v>360</v>
      </c>
      <c r="B142">
        <v>10141</v>
      </c>
      <c r="C142" s="83">
        <v>1020.9800000000002</v>
      </c>
      <c r="D142" s="83">
        <v>82.769792259283577</v>
      </c>
      <c r="E142" s="83">
        <v>58.365714540899177</v>
      </c>
      <c r="F142">
        <v>3</v>
      </c>
      <c r="G142" s="83">
        <v>20.696600509999655</v>
      </c>
      <c r="H142" s="83">
        <v>4.2378568202799993</v>
      </c>
      <c r="I142" s="83">
        <v>592.7300000000007</v>
      </c>
      <c r="J142" s="83">
        <v>0.4676136563369086</v>
      </c>
      <c r="K142" s="83">
        <v>2.3908</v>
      </c>
      <c r="L142" s="83">
        <v>60.229399786001046</v>
      </c>
    </row>
    <row r="143" spans="1:12">
      <c r="A143" t="s">
        <v>361</v>
      </c>
      <c r="B143">
        <v>10142</v>
      </c>
      <c r="C143" s="83">
        <v>1026.43</v>
      </c>
      <c r="D143" s="83">
        <v>87.254791739461496</v>
      </c>
      <c r="E143" s="83">
        <v>59.01638432617839</v>
      </c>
      <c r="F143">
        <v>3</v>
      </c>
      <c r="G143" s="83">
        <v>10.199899273997993</v>
      </c>
      <c r="H143" s="83">
        <v>3.4407790195699999</v>
      </c>
      <c r="I143" s="83">
        <v>586.80000000000075</v>
      </c>
      <c r="J143" s="83">
        <v>0.61607150307591352</v>
      </c>
      <c r="K143" s="83">
        <v>5.3383001601490045</v>
      </c>
      <c r="L143" s="83">
        <v>61.031699948951101</v>
      </c>
    </row>
    <row r="144" spans="1:12">
      <c r="A144" t="s">
        <v>362</v>
      </c>
      <c r="B144">
        <v>10143</v>
      </c>
      <c r="C144" s="83">
        <v>1024.3300000000002</v>
      </c>
      <c r="D144" s="83">
        <v>92.079800350089528</v>
      </c>
      <c r="E144" s="83">
        <v>41.938130186947248</v>
      </c>
      <c r="F144">
        <v>3</v>
      </c>
      <c r="G144" s="83">
        <v>11.350100244004164</v>
      </c>
      <c r="H144" s="83">
        <v>3.2913799991599997</v>
      </c>
      <c r="I144" s="83">
        <v>586.80000000000075</v>
      </c>
      <c r="J144" s="83">
        <v>1.6812872377935367E-2</v>
      </c>
      <c r="K144" s="83">
        <v>4.7454001898160074</v>
      </c>
      <c r="L144" s="83">
        <v>42.547899789912094</v>
      </c>
    </row>
    <row r="145" spans="1:12">
      <c r="A145" t="s">
        <v>363</v>
      </c>
      <c r="B145">
        <v>10144</v>
      </c>
      <c r="C145" s="83">
        <v>1021.1700000000004</v>
      </c>
      <c r="D145" s="83">
        <v>78.498747994405832</v>
      </c>
      <c r="E145" s="83">
        <v>62.108851778697101</v>
      </c>
      <c r="F145">
        <v>3</v>
      </c>
      <c r="G145" s="83">
        <v>10.168599890313997</v>
      </c>
      <c r="H145" s="83">
        <v>3.9025156830999999</v>
      </c>
      <c r="I145" s="83">
        <v>597.42000000000075</v>
      </c>
      <c r="J145" s="83">
        <v>7.8070101871599545E-2</v>
      </c>
      <c r="K145" s="83">
        <v>5.0809999491900006</v>
      </c>
      <c r="L145" s="83">
        <v>63.681399716184984</v>
      </c>
    </row>
    <row r="146" spans="1:12">
      <c r="A146" t="s">
        <v>364</v>
      </c>
      <c r="B146">
        <v>10145</v>
      </c>
      <c r="C146" s="83">
        <v>1045.5600000000002</v>
      </c>
      <c r="D146" s="83">
        <v>89.402942497989727</v>
      </c>
      <c r="E146" s="83">
        <v>65.588021558719518</v>
      </c>
      <c r="F146">
        <v>3</v>
      </c>
      <c r="G146" s="83">
        <v>7.6296998901885127</v>
      </c>
      <c r="H146" s="83">
        <v>3.7431010436099998</v>
      </c>
      <c r="I146" s="83">
        <v>597.42000000000075</v>
      </c>
      <c r="J146" s="83">
        <v>8.8103740816305287E-2</v>
      </c>
      <c r="K146" s="83">
        <v>4.5754001830160078</v>
      </c>
      <c r="L146" s="83">
        <v>67.831400456253704</v>
      </c>
    </row>
    <row r="147" spans="1:12">
      <c r="A147" t="s">
        <v>365</v>
      </c>
      <c r="B147">
        <v>10146</v>
      </c>
      <c r="C147" s="83">
        <v>1072.23</v>
      </c>
      <c r="D147" s="83">
        <v>92.928655875222773</v>
      </c>
      <c r="E147" s="83">
        <v>56.021574340205781</v>
      </c>
      <c r="F147">
        <v>3</v>
      </c>
      <c r="G147" s="83">
        <v>14.68680029147222</v>
      </c>
      <c r="H147" s="83">
        <v>3.3524450035799997</v>
      </c>
      <c r="I147" s="83">
        <v>609.48000000000059</v>
      </c>
      <c r="J147" s="83">
        <v>0.14694625606897135</v>
      </c>
      <c r="K147" s="83">
        <v>3.4848001393920054</v>
      </c>
      <c r="L147" s="83">
        <v>58.254100313165303</v>
      </c>
    </row>
    <row r="148" spans="1:12">
      <c r="A148" t="s">
        <v>366</v>
      </c>
      <c r="B148">
        <v>10147</v>
      </c>
      <c r="C148" s="83">
        <v>1046.1000000000004</v>
      </c>
      <c r="D148" s="83">
        <v>89.738443665929623</v>
      </c>
      <c r="E148" s="83">
        <v>38.418681881336418</v>
      </c>
      <c r="F148">
        <v>3</v>
      </c>
      <c r="G148" s="83">
        <v>6.8206999347929846</v>
      </c>
      <c r="H148" s="83">
        <v>3.2545809797399996</v>
      </c>
      <c r="I148" s="83">
        <v>609.48000000000059</v>
      </c>
      <c r="J148" s="83">
        <v>1.7861532405226328E-2</v>
      </c>
      <c r="K148" s="83">
        <v>6.2782999372170005</v>
      </c>
      <c r="L148" s="83">
        <v>41.596401025031028</v>
      </c>
    </row>
    <row r="149" spans="1:12">
      <c r="A149" t="s">
        <v>367</v>
      </c>
      <c r="B149">
        <v>10148</v>
      </c>
      <c r="C149" s="83">
        <v>1035.9100000000003</v>
      </c>
      <c r="D149" s="83">
        <v>80.349372274705203</v>
      </c>
      <c r="E149" s="83">
        <v>64.067079291136494</v>
      </c>
      <c r="F149">
        <v>3</v>
      </c>
      <c r="G149" s="83">
        <v>9.1436001197441854</v>
      </c>
      <c r="H149" s="83">
        <v>4.5548572148599993</v>
      </c>
      <c r="I149" s="83">
        <v>620.49000000000069</v>
      </c>
      <c r="J149" s="83">
        <v>4.318416468374509</v>
      </c>
      <c r="K149" s="83">
        <v>3.7653001506120063</v>
      </c>
      <c r="L149" s="83">
        <v>65.444400353770433</v>
      </c>
    </row>
    <row r="150" spans="1:12">
      <c r="A150" t="s">
        <v>368</v>
      </c>
      <c r="B150">
        <v>10149</v>
      </c>
      <c r="C150" s="83">
        <v>1039.0400000000004</v>
      </c>
      <c r="D150" s="83">
        <v>53.943959592213119</v>
      </c>
      <c r="E150" s="83">
        <v>63.168147289209251</v>
      </c>
      <c r="F150">
        <v>3</v>
      </c>
      <c r="G150" s="83">
        <v>18.714099446859315</v>
      </c>
      <c r="H150" s="83">
        <v>6.7127807409699995</v>
      </c>
      <c r="I150" s="83">
        <v>620.49000000000069</v>
      </c>
      <c r="J150" s="83">
        <v>13.743820993377595</v>
      </c>
      <c r="K150" s="83">
        <v>1.1763999882360001</v>
      </c>
      <c r="L150" s="83">
        <v>66.265200848346041</v>
      </c>
    </row>
    <row r="151" spans="1:12">
      <c r="A151" t="s">
        <v>369</v>
      </c>
      <c r="B151">
        <v>10150</v>
      </c>
      <c r="C151" s="83">
        <v>1002.9000000000005</v>
      </c>
      <c r="D151" s="83">
        <v>33.182528795857642</v>
      </c>
      <c r="E151" s="83">
        <v>74.648865464279325</v>
      </c>
      <c r="F151">
        <v>3</v>
      </c>
      <c r="G151" s="83">
        <v>8.7540001241602603</v>
      </c>
      <c r="H151" s="83">
        <v>8.5618638092699992</v>
      </c>
      <c r="I151" s="83">
        <v>619.47000000000082</v>
      </c>
      <c r="J151" s="83">
        <v>27.297355319520484</v>
      </c>
      <c r="K151" s="83">
        <v>0.9997000399880015</v>
      </c>
      <c r="L151" s="83">
        <v>76.892099397686579</v>
      </c>
    </row>
    <row r="152" spans="1:12">
      <c r="A152" t="s">
        <v>370</v>
      </c>
      <c r="B152">
        <v>10151</v>
      </c>
      <c r="C152" s="83">
        <v>1000.7700000000001</v>
      </c>
      <c r="D152" s="83">
        <v>69.800027867468444</v>
      </c>
      <c r="E152" s="83">
        <v>74.629342264533321</v>
      </c>
      <c r="F152">
        <v>3</v>
      </c>
      <c r="G152" s="83">
        <v>8.7277999427219317</v>
      </c>
      <c r="H152" s="83">
        <v>6.4616298433799999</v>
      </c>
      <c r="I152" s="83">
        <v>619.47000000000082</v>
      </c>
      <c r="J152" s="83">
        <v>29.112964266889868</v>
      </c>
      <c r="K152" s="83">
        <v>1.4822999851770002</v>
      </c>
      <c r="L152" s="83">
        <v>76.496500640033219</v>
      </c>
    </row>
    <row r="153" spans="1:12">
      <c r="A153" t="s">
        <v>371</v>
      </c>
      <c r="B153">
        <v>10152</v>
      </c>
      <c r="C153" s="83">
        <v>1020.2100000000004</v>
      </c>
      <c r="D153" s="83">
        <v>66.901105289574119</v>
      </c>
      <c r="E153" s="83">
        <v>79.675598902966343</v>
      </c>
      <c r="F153">
        <v>3</v>
      </c>
      <c r="G153" s="83">
        <v>8.8902002596080614</v>
      </c>
      <c r="H153" s="83">
        <v>5.0018689746899998</v>
      </c>
      <c r="I153" s="83">
        <v>614.53000000000054</v>
      </c>
      <c r="J153" s="83">
        <v>2.1153009923558566</v>
      </c>
      <c r="K153" s="83">
        <v>0.58060002322400084</v>
      </c>
      <c r="L153" s="83">
        <v>81.196699673865808</v>
      </c>
    </row>
    <row r="154" spans="1:12">
      <c r="A154" t="s">
        <v>372</v>
      </c>
      <c r="B154">
        <v>10153</v>
      </c>
      <c r="C154" s="83">
        <v>1041.2200000000005</v>
      </c>
      <c r="D154" s="83">
        <v>68.067347901533125</v>
      </c>
      <c r="E154" s="83">
        <v>83.225538816314909</v>
      </c>
      <c r="F154">
        <v>3</v>
      </c>
      <c r="G154" s="83">
        <v>7.7120999543633042</v>
      </c>
      <c r="H154" s="83">
        <v>5.3896564118999999</v>
      </c>
      <c r="I154" s="83">
        <v>614.53000000000054</v>
      </c>
      <c r="J154" s="83">
        <v>2.5721103787769186</v>
      </c>
      <c r="K154" s="83">
        <v>0.69340002080200069</v>
      </c>
      <c r="L154" s="83">
        <v>84.145599961367822</v>
      </c>
    </row>
    <row r="155" spans="1:12">
      <c r="A155" t="s">
        <v>373</v>
      </c>
      <c r="B155">
        <v>10154</v>
      </c>
      <c r="C155" s="83">
        <v>1060.5000000000005</v>
      </c>
      <c r="D155" s="83">
        <v>89.81748626588751</v>
      </c>
      <c r="E155" s="83">
        <v>82.314718016477229</v>
      </c>
      <c r="F155">
        <v>3</v>
      </c>
      <c r="G155" s="83">
        <v>6.5945000277802066</v>
      </c>
      <c r="H155" s="83">
        <v>4.4331122223300001</v>
      </c>
      <c r="I155" s="83">
        <v>613.47000000000082</v>
      </c>
      <c r="J155" s="83">
        <v>0.87868671917094177</v>
      </c>
      <c r="K155" s="83">
        <v>1.4992000599680024</v>
      </c>
      <c r="L155" s="83">
        <v>81.549100005965201</v>
      </c>
    </row>
    <row r="156" spans="1:12">
      <c r="A156" t="s">
        <v>374</v>
      </c>
      <c r="B156">
        <v>10155</v>
      </c>
      <c r="C156" s="83">
        <v>1071.8600000000001</v>
      </c>
      <c r="D156" s="83">
        <v>90.044389615302009</v>
      </c>
      <c r="E156" s="83">
        <v>77.564497207738185</v>
      </c>
      <c r="F156">
        <v>3</v>
      </c>
      <c r="G156" s="83">
        <v>7.4513529133973364</v>
      </c>
      <c r="H156" s="83">
        <v>4.1532201093099994</v>
      </c>
      <c r="I156" s="83">
        <v>613.47000000000082</v>
      </c>
      <c r="J156" s="83">
        <v>0.88482400531847294</v>
      </c>
      <c r="K156" s="83">
        <v>1.3319019079749659</v>
      </c>
      <c r="L156" s="83">
        <v>76.182267629630928</v>
      </c>
    </row>
    <row r="157" spans="1:12">
      <c r="A157" t="s">
        <v>375</v>
      </c>
      <c r="B157">
        <v>10156</v>
      </c>
      <c r="C157" s="83">
        <v>867.57000000000039</v>
      </c>
      <c r="D157" s="83">
        <v>97.773587846698646</v>
      </c>
      <c r="E157" s="83">
        <v>18.52575521045712</v>
      </c>
      <c r="F157">
        <v>2</v>
      </c>
      <c r="G157" s="83">
        <v>5.1585443686363384</v>
      </c>
      <c r="H157" s="83">
        <v>1.95702877274</v>
      </c>
      <c r="I157" s="83">
        <v>609.4800000000007</v>
      </c>
      <c r="J157" s="83">
        <v>0</v>
      </c>
      <c r="K157" s="83">
        <v>15.572603755442621</v>
      </c>
      <c r="L157" s="83">
        <v>17.578478669595871</v>
      </c>
    </row>
    <row r="158" spans="1:12">
      <c r="A158" t="s">
        <v>376</v>
      </c>
      <c r="B158">
        <v>10157</v>
      </c>
      <c r="C158" s="83">
        <v>817.06000000000029</v>
      </c>
      <c r="D158" s="83">
        <v>90.757582034252465</v>
      </c>
      <c r="E158" s="83">
        <v>72.768658095050924</v>
      </c>
      <c r="F158">
        <v>2</v>
      </c>
      <c r="G158" s="83">
        <v>10.568815333328937</v>
      </c>
      <c r="H158" s="83">
        <v>3.1335261749599996</v>
      </c>
      <c r="I158" s="83">
        <v>609.4800000000007</v>
      </c>
      <c r="J158" s="83">
        <v>2.3620212429675171</v>
      </c>
      <c r="K158" s="83">
        <v>2.835645628887379</v>
      </c>
      <c r="L158" s="83">
        <v>73.254260223257916</v>
      </c>
    </row>
    <row r="159" spans="1:12">
      <c r="A159" t="s">
        <v>377</v>
      </c>
      <c r="B159">
        <v>10158</v>
      </c>
      <c r="C159" s="83">
        <v>810.54000000000019</v>
      </c>
      <c r="D159" s="83">
        <v>76.413636858633197</v>
      </c>
      <c r="E159" s="83">
        <v>68.877154432855619</v>
      </c>
      <c r="F159">
        <v>2</v>
      </c>
      <c r="G159" s="83">
        <v>13.521480277418737</v>
      </c>
      <c r="H159" s="83">
        <v>4.4433944524899998</v>
      </c>
      <c r="I159" s="83">
        <v>607.16000000000099</v>
      </c>
      <c r="J159" s="83">
        <v>3.65398054389826</v>
      </c>
      <c r="K159" s="83">
        <v>4.3568558931393504</v>
      </c>
      <c r="L159" s="83">
        <v>64.660485558169512</v>
      </c>
    </row>
    <row r="160" spans="1:12">
      <c r="A160" t="s">
        <v>378</v>
      </c>
      <c r="B160">
        <v>10159</v>
      </c>
      <c r="C160" s="83">
        <v>871.47000000000025</v>
      </c>
      <c r="D160" s="83">
        <v>76.045017788295539</v>
      </c>
      <c r="E160" s="83">
        <v>73.213640101950105</v>
      </c>
      <c r="F160">
        <v>4</v>
      </c>
      <c r="G160" s="83">
        <v>10.071576235500437</v>
      </c>
      <c r="H160" s="83">
        <v>4.5122340851999994</v>
      </c>
      <c r="I160" s="83">
        <v>607.16000000000099</v>
      </c>
      <c r="J160" s="83">
        <v>11.129030531847894</v>
      </c>
      <c r="K160" s="83">
        <v>1.6379594058840086</v>
      </c>
      <c r="L160" s="83">
        <v>68.918261748833473</v>
      </c>
    </row>
    <row r="161" spans="1:12">
      <c r="A161" t="s">
        <v>379</v>
      </c>
      <c r="B161">
        <v>10160</v>
      </c>
      <c r="C161" s="83">
        <v>882.87000000000046</v>
      </c>
      <c r="D161" s="83">
        <v>78.016265027866183</v>
      </c>
      <c r="E161" s="83">
        <v>60.811642115486436</v>
      </c>
      <c r="F161">
        <v>4</v>
      </c>
      <c r="G161" s="83">
        <v>8.8676267371230573</v>
      </c>
      <c r="H161" s="83">
        <v>4.0775956332399996</v>
      </c>
      <c r="I161" s="83">
        <v>601.97000000000082</v>
      </c>
      <c r="J161" s="83">
        <v>3.4169731609353318</v>
      </c>
      <c r="K161" s="83">
        <v>3.3946423759104887</v>
      </c>
      <c r="L161" s="83">
        <v>57.091324381459287</v>
      </c>
    </row>
    <row r="162" spans="1:12">
      <c r="A162" t="s">
        <v>380</v>
      </c>
      <c r="B162">
        <v>10161</v>
      </c>
      <c r="C162" s="83">
        <v>890.04000000000053</v>
      </c>
      <c r="D162" s="83">
        <v>75.21135351980719</v>
      </c>
      <c r="E162" s="83">
        <v>66.011837435240906</v>
      </c>
      <c r="F162">
        <v>4</v>
      </c>
      <c r="G162" s="83">
        <v>11.810831305037228</v>
      </c>
      <c r="H162" s="83">
        <v>3.8121800984899998</v>
      </c>
      <c r="I162" s="83">
        <v>601.97000000000082</v>
      </c>
      <c r="J162" s="83">
        <v>49.400878916063341</v>
      </c>
      <c r="K162" s="83">
        <v>5.3386921685059274</v>
      </c>
      <c r="L162" s="83">
        <v>61.729862586093631</v>
      </c>
    </row>
    <row r="163" spans="1:12">
      <c r="A163" t="s">
        <v>381</v>
      </c>
      <c r="B163">
        <v>10162</v>
      </c>
      <c r="C163" s="83">
        <v>914.13000000000034</v>
      </c>
      <c r="D163" s="83">
        <v>87.38443477481249</v>
      </c>
      <c r="E163" s="83">
        <v>66.454194878219099</v>
      </c>
      <c r="F163">
        <v>4</v>
      </c>
      <c r="G163" s="83">
        <v>11.262705815993074</v>
      </c>
      <c r="H163" s="83">
        <v>4.0014554421600002</v>
      </c>
      <c r="I163" s="83">
        <v>597.90000000000077</v>
      </c>
      <c r="J163" s="83">
        <v>1.6450488519491813</v>
      </c>
      <c r="K163" s="83">
        <v>4.7852757586508572</v>
      </c>
      <c r="L163" s="83">
        <v>65.514862693856315</v>
      </c>
    </row>
    <row r="164" spans="1:12">
      <c r="A164" t="s">
        <v>382</v>
      </c>
      <c r="B164">
        <v>10163</v>
      </c>
      <c r="C164" s="83">
        <v>923.6600000000002</v>
      </c>
      <c r="D164" s="83">
        <v>88.940141384721272</v>
      </c>
      <c r="E164" s="83">
        <v>62.135753071225324</v>
      </c>
      <c r="F164">
        <v>4</v>
      </c>
      <c r="G164" s="83">
        <v>7.5516359406384952</v>
      </c>
      <c r="H164" s="83">
        <v>4.2401289696599997</v>
      </c>
      <c r="I164" s="83">
        <v>597.90000000000077</v>
      </c>
      <c r="J164" s="83">
        <v>0.10982112088691871</v>
      </c>
      <c r="K164" s="83">
        <v>4.5588277148171246</v>
      </c>
      <c r="L164" s="83">
        <v>61.021393570625428</v>
      </c>
    </row>
    <row r="165" spans="1:12">
      <c r="A165" t="s">
        <v>383</v>
      </c>
      <c r="B165">
        <v>10164</v>
      </c>
      <c r="C165" s="83">
        <v>937.67000000000041</v>
      </c>
      <c r="D165" s="83">
        <v>91.619077647863563</v>
      </c>
      <c r="E165" s="83">
        <v>49.440517651886275</v>
      </c>
      <c r="F165">
        <v>1</v>
      </c>
      <c r="G165" s="83">
        <v>8.5627999932563093</v>
      </c>
      <c r="H165" s="83">
        <v>4.2232786068000001</v>
      </c>
      <c r="I165" s="83">
        <v>597.94000000000074</v>
      </c>
      <c r="J165" s="83">
        <v>0.36017885712331793</v>
      </c>
      <c r="K165" s="83">
        <v>3.1059000621180015</v>
      </c>
      <c r="L165" s="83">
        <v>51.440199696807532</v>
      </c>
    </row>
    <row r="166" spans="1:12">
      <c r="A166" t="s">
        <v>384</v>
      </c>
      <c r="B166">
        <v>10165</v>
      </c>
      <c r="C166" s="83">
        <v>943.2200000000006</v>
      </c>
      <c r="D166" s="83">
        <v>98.639052912672838</v>
      </c>
      <c r="E166" s="83">
        <v>56.005879338121069</v>
      </c>
      <c r="F166">
        <v>3</v>
      </c>
      <c r="G166" s="83">
        <v>9.8082000092463328</v>
      </c>
      <c r="H166" s="83">
        <v>4.8409364252099998</v>
      </c>
      <c r="I166" s="83">
        <v>597.94000000000074</v>
      </c>
      <c r="J166" s="83">
        <v>27.739907037492696</v>
      </c>
      <c r="K166" s="83">
        <v>11.70430035112901</v>
      </c>
      <c r="L166" s="83">
        <v>59.050900295522645</v>
      </c>
    </row>
    <row r="167" spans="1:12">
      <c r="A167" t="s">
        <v>385</v>
      </c>
      <c r="B167">
        <v>10166</v>
      </c>
      <c r="C167" s="83">
        <v>955.15000000000032</v>
      </c>
      <c r="D167" s="83">
        <v>94.837180457791874</v>
      </c>
      <c r="E167" s="83">
        <v>37.042528738341723</v>
      </c>
      <c r="F167">
        <v>3</v>
      </c>
      <c r="G167" s="83">
        <v>5.9148997057021857</v>
      </c>
      <c r="H167" s="83">
        <v>3.2084431963099997</v>
      </c>
      <c r="I167" s="83">
        <v>592.7300000000007</v>
      </c>
      <c r="J167" s="83">
        <v>27.481902361191114</v>
      </c>
      <c r="K167" s="83">
        <v>3.569999928600001</v>
      </c>
      <c r="L167" s="83">
        <v>38.687799814241949</v>
      </c>
    </row>
    <row r="168" spans="1:12">
      <c r="A168" t="s">
        <v>386</v>
      </c>
      <c r="B168">
        <v>10167</v>
      </c>
      <c r="C168" s="83">
        <v>977.78000000000031</v>
      </c>
      <c r="D168" s="83">
        <v>86.007767517422536</v>
      </c>
      <c r="E168" s="83">
        <v>58.356946927449762</v>
      </c>
      <c r="F168">
        <v>3</v>
      </c>
      <c r="G168" s="83">
        <v>13.46380042136154</v>
      </c>
      <c r="H168" s="83">
        <v>3.7986724037699999</v>
      </c>
      <c r="I168" s="83">
        <v>592.7300000000007</v>
      </c>
      <c r="J168" s="83">
        <v>0.58254045178134217</v>
      </c>
      <c r="K168" s="83">
        <v>2.8254999717450002</v>
      </c>
      <c r="L168" s="83">
        <v>61.469599919304244</v>
      </c>
    </row>
    <row r="169" spans="1:12">
      <c r="A169" t="s">
        <v>387</v>
      </c>
      <c r="B169">
        <v>10168</v>
      </c>
      <c r="C169" s="83">
        <v>1006.0800000000005</v>
      </c>
      <c r="D169" s="83">
        <v>87.241837683418083</v>
      </c>
      <c r="E169" s="83">
        <v>46.762746255179536</v>
      </c>
      <c r="F169">
        <v>3</v>
      </c>
      <c r="G169" s="83">
        <v>7.412199892244189</v>
      </c>
      <c r="H169" s="83">
        <v>3.6255984311899998</v>
      </c>
      <c r="I169" s="83">
        <v>586.80000000000075</v>
      </c>
      <c r="J169" s="83">
        <v>0.56824009948708587</v>
      </c>
      <c r="K169" s="83">
        <v>3.6276000725520015</v>
      </c>
      <c r="L169" s="83">
        <v>47.782600359652982</v>
      </c>
    </row>
    <row r="170" spans="1:12">
      <c r="A170" t="s">
        <v>388</v>
      </c>
      <c r="B170">
        <v>10169</v>
      </c>
      <c r="C170" s="83">
        <v>1015.7700000000001</v>
      </c>
      <c r="D170" s="83">
        <v>96.331588064291211</v>
      </c>
      <c r="E170" s="83">
        <v>53.011255459385325</v>
      </c>
      <c r="F170">
        <v>3</v>
      </c>
      <c r="G170" s="83">
        <v>8.1081998352462819</v>
      </c>
      <c r="H170" s="83">
        <v>3.5531645900199997</v>
      </c>
      <c r="I170" s="83">
        <v>586.80000000000075</v>
      </c>
      <c r="J170" s="83">
        <v>0.17333655319784375</v>
      </c>
      <c r="K170" s="83">
        <v>2.2304000669120021</v>
      </c>
      <c r="L170" s="83">
        <v>54.667699475028265</v>
      </c>
    </row>
    <row r="171" spans="1:12">
      <c r="A171" t="s">
        <v>389</v>
      </c>
      <c r="B171">
        <v>10170</v>
      </c>
      <c r="C171" s="83">
        <v>1011.7000000000002</v>
      </c>
      <c r="D171" s="83">
        <v>89.130162006255915</v>
      </c>
      <c r="E171" s="83">
        <v>58.233990292697058</v>
      </c>
      <c r="F171">
        <v>6</v>
      </c>
      <c r="G171" s="83">
        <v>10.439400251211497</v>
      </c>
      <c r="H171" s="83">
        <v>4.2115865289899999</v>
      </c>
      <c r="I171" s="83">
        <v>597.42000000000075</v>
      </c>
      <c r="J171" s="83">
        <v>0.22468192644222998</v>
      </c>
      <c r="K171" s="83">
        <v>2.3342063774507449</v>
      </c>
      <c r="L171" s="83">
        <v>61.048107142423248</v>
      </c>
    </row>
    <row r="172" spans="1:12">
      <c r="A172" t="s">
        <v>390</v>
      </c>
      <c r="B172">
        <v>10171</v>
      </c>
      <c r="C172" s="83">
        <v>1028.42</v>
      </c>
      <c r="D172" s="83">
        <v>85.701310835480427</v>
      </c>
      <c r="E172" s="83">
        <v>59.599807717126019</v>
      </c>
      <c r="F172">
        <v>6</v>
      </c>
      <c r="G172" s="83">
        <v>11.758099831743355</v>
      </c>
      <c r="H172" s="83">
        <v>4.5441505546199998</v>
      </c>
      <c r="I172" s="83">
        <v>597.42000000000075</v>
      </c>
      <c r="J172" s="83">
        <v>10.482506627288275</v>
      </c>
      <c r="K172" s="83">
        <v>1.2666000379980011</v>
      </c>
      <c r="L172" s="83">
        <v>61.98950146968555</v>
      </c>
    </row>
    <row r="173" spans="1:12">
      <c r="A173" t="s">
        <v>391</v>
      </c>
      <c r="B173">
        <v>10172</v>
      </c>
      <c r="C173" s="83">
        <v>1059.9500000000003</v>
      </c>
      <c r="D173" s="83">
        <v>86.542160744722452</v>
      </c>
      <c r="E173" s="83">
        <v>48.12373271629999</v>
      </c>
      <c r="F173">
        <v>6</v>
      </c>
      <c r="G173" s="83">
        <v>11.385600101568315</v>
      </c>
      <c r="H173" s="83">
        <v>4.9044814252299993</v>
      </c>
      <c r="I173" s="83">
        <v>609.48000000000059</v>
      </c>
      <c r="J173" s="83">
        <v>10.250882602676256</v>
      </c>
      <c r="K173" s="83">
        <v>2.4779000743370019</v>
      </c>
      <c r="L173" s="83">
        <v>50.23839920515222</v>
      </c>
    </row>
    <row r="174" spans="1:12">
      <c r="A174" t="s">
        <v>392</v>
      </c>
      <c r="B174">
        <v>10173</v>
      </c>
      <c r="C174" s="83">
        <v>1029.4600000000003</v>
      </c>
      <c r="D174" s="83">
        <v>79.024239988317333</v>
      </c>
      <c r="E174" s="83">
        <v>49.453527681473467</v>
      </c>
      <c r="F174">
        <v>6</v>
      </c>
      <c r="G174" s="83">
        <v>8.1229995505403796</v>
      </c>
      <c r="H174" s="83">
        <v>4.6639785275999994</v>
      </c>
      <c r="I174" s="83">
        <v>609.48000000000059</v>
      </c>
      <c r="J174" s="83">
        <v>10.376108472932847</v>
      </c>
      <c r="K174" s="83">
        <v>8.4323998313520043</v>
      </c>
      <c r="L174" s="83">
        <v>48.011299475774891</v>
      </c>
    </row>
    <row r="175" spans="1:12">
      <c r="A175" t="s">
        <v>393</v>
      </c>
      <c r="B175">
        <v>10174</v>
      </c>
      <c r="C175" s="83">
        <v>992.19000000000017</v>
      </c>
      <c r="D175" s="83">
        <v>45.948996257546469</v>
      </c>
      <c r="E175" s="83">
        <v>67.861191602648546</v>
      </c>
      <c r="F175">
        <v>6</v>
      </c>
      <c r="G175" s="83">
        <v>9.3738999412174628</v>
      </c>
      <c r="H175" s="83">
        <v>7.3865239050299998</v>
      </c>
      <c r="I175" s="83">
        <v>620.49000000000069</v>
      </c>
      <c r="J175" s="83">
        <v>10.500020555180871</v>
      </c>
      <c r="K175" s="83">
        <v>3.4378001031340033</v>
      </c>
      <c r="L175" s="83">
        <v>69.361799587854264</v>
      </c>
    </row>
    <row r="176" spans="1:12">
      <c r="A176" t="s">
        <v>394</v>
      </c>
      <c r="B176">
        <v>10175</v>
      </c>
      <c r="C176" s="83">
        <v>964.10000000000014</v>
      </c>
      <c r="D176" s="83">
        <v>60.644594728257388</v>
      </c>
      <c r="E176" s="83">
        <v>69.06943140763903</v>
      </c>
      <c r="F176">
        <v>6</v>
      </c>
      <c r="G176" s="83">
        <v>15.015600031687587</v>
      </c>
      <c r="H176" s="83">
        <v>7.7573897888099994</v>
      </c>
      <c r="I176" s="83">
        <v>620.49000000000069</v>
      </c>
      <c r="J176" s="83">
        <v>10.294410781196239</v>
      </c>
      <c r="K176" s="83">
        <v>2.6913999461720008</v>
      </c>
      <c r="L176" s="83">
        <v>69.897100026055853</v>
      </c>
    </row>
    <row r="177" spans="1:12">
      <c r="A177" t="s">
        <v>395</v>
      </c>
      <c r="B177">
        <v>10176</v>
      </c>
      <c r="C177" s="83">
        <v>962.78000000000031</v>
      </c>
      <c r="D177" s="83">
        <v>30.752630264036441</v>
      </c>
      <c r="E177" s="83">
        <v>65.897904958303954</v>
      </c>
      <c r="F177">
        <v>6</v>
      </c>
      <c r="G177" s="83">
        <v>9.3117000733512789</v>
      </c>
      <c r="H177" s="83">
        <v>9.1386187973499986</v>
      </c>
      <c r="I177" s="83">
        <v>619.47000000000082</v>
      </c>
      <c r="J177" s="83">
        <v>24.442694682325332</v>
      </c>
      <c r="K177" s="83">
        <v>1.3883000416490012</v>
      </c>
      <c r="L177" s="83">
        <v>67.500599876020345</v>
      </c>
    </row>
    <row r="178" spans="1:12">
      <c r="A178" t="s">
        <v>396</v>
      </c>
      <c r="B178">
        <v>10177</v>
      </c>
      <c r="C178" s="83">
        <v>984.90000000000055</v>
      </c>
      <c r="D178" s="83">
        <v>73.77234645675901</v>
      </c>
      <c r="E178" s="83">
        <v>71.166011119846942</v>
      </c>
      <c r="F178">
        <v>3</v>
      </c>
      <c r="G178" s="83">
        <v>12.324299601514165</v>
      </c>
      <c r="H178" s="83">
        <v>6.2483180779899996</v>
      </c>
      <c r="I178" s="83">
        <v>619.47000000000082</v>
      </c>
      <c r="J178" s="83">
        <v>26.370456282733777</v>
      </c>
      <c r="K178" s="83">
        <v>1.7176999656460006</v>
      </c>
      <c r="L178" s="83">
        <v>72.176000067479549</v>
      </c>
    </row>
    <row r="179" spans="1:12">
      <c r="A179" t="s">
        <v>397</v>
      </c>
      <c r="B179">
        <v>10178</v>
      </c>
      <c r="C179" s="83">
        <v>1011.2600000000002</v>
      </c>
      <c r="D179" s="83">
        <v>80.704701383179838</v>
      </c>
      <c r="E179" s="83">
        <v>72.830810254972334</v>
      </c>
      <c r="F179">
        <v>3</v>
      </c>
      <c r="G179" s="83">
        <v>8.3445999273383382</v>
      </c>
      <c r="H179" s="83">
        <v>4.7519230216199997</v>
      </c>
      <c r="I179" s="83">
        <v>614.53000000000054</v>
      </c>
      <c r="J179" s="83">
        <v>28.693883644160696</v>
      </c>
      <c r="K179" s="83">
        <v>3.6913001107390033</v>
      </c>
      <c r="L179" s="83">
        <v>72.490999977727526</v>
      </c>
    </row>
    <row r="180" spans="1:12">
      <c r="A180" t="s">
        <v>398</v>
      </c>
      <c r="B180">
        <v>10179</v>
      </c>
      <c r="C180" s="83">
        <v>1035.4500000000005</v>
      </c>
      <c r="D180" s="83">
        <v>77.530843340743985</v>
      </c>
      <c r="E180" s="83">
        <v>79.929347637481939</v>
      </c>
      <c r="F180">
        <v>3</v>
      </c>
      <c r="G180" s="83">
        <v>7.2447998518963566</v>
      </c>
      <c r="H180" s="83">
        <v>5.12428951382</v>
      </c>
      <c r="I180" s="83">
        <v>614.53000000000054</v>
      </c>
      <c r="J180" s="83">
        <v>3.4433081417557339</v>
      </c>
      <c r="K180" s="83">
        <v>0.87010001740200038</v>
      </c>
      <c r="L180" s="83">
        <v>81.741501019829968</v>
      </c>
    </row>
    <row r="181" spans="1:12">
      <c r="A181" t="s">
        <v>399</v>
      </c>
      <c r="B181">
        <v>10180</v>
      </c>
      <c r="C181" s="83">
        <v>1050.3300000000004</v>
      </c>
      <c r="D181" s="83">
        <v>87.776071326853298</v>
      </c>
      <c r="E181" s="83">
        <v>81.146270770091817</v>
      </c>
      <c r="F181">
        <v>3</v>
      </c>
      <c r="G181" s="83">
        <v>8.1397997301944862</v>
      </c>
      <c r="H181" s="83">
        <v>5.6037125747999994</v>
      </c>
      <c r="I181" s="83">
        <v>613.47000000000082</v>
      </c>
      <c r="J181" s="83">
        <v>1.4709227296535328</v>
      </c>
      <c r="K181" s="83">
        <v>2.7755000832650025</v>
      </c>
      <c r="L181" s="83">
        <v>82.769300454080579</v>
      </c>
    </row>
    <row r="182" spans="1:12">
      <c r="A182" t="s">
        <v>400</v>
      </c>
      <c r="B182">
        <v>10181</v>
      </c>
      <c r="C182" s="83">
        <v>1064.2200000000003</v>
      </c>
      <c r="D182" s="83">
        <v>84.922215186875434</v>
      </c>
      <c r="E182" s="83">
        <v>71.36821932236019</v>
      </c>
      <c r="F182">
        <v>3</v>
      </c>
      <c r="G182" s="83">
        <v>8.831222772548827</v>
      </c>
      <c r="H182" s="83">
        <v>3.6592593937099998</v>
      </c>
      <c r="I182" s="83">
        <v>613.47000000000082</v>
      </c>
      <c r="J182" s="83">
        <v>0</v>
      </c>
      <c r="K182" s="83">
        <v>5.425762421523447</v>
      </c>
      <c r="L182" s="83">
        <v>68.032292995320205</v>
      </c>
    </row>
    <row r="183" spans="1:12">
      <c r="A183" t="s">
        <v>401</v>
      </c>
      <c r="B183">
        <v>10182</v>
      </c>
      <c r="C183" s="83">
        <v>1067.1500000000005</v>
      </c>
      <c r="D183" s="83">
        <v>89.640682797206111</v>
      </c>
      <c r="E183" s="83">
        <v>60.646147064573093</v>
      </c>
      <c r="F183">
        <v>3</v>
      </c>
      <c r="G183" s="83">
        <v>5.7303779863057924</v>
      </c>
      <c r="H183" s="83">
        <v>3.26342484113</v>
      </c>
      <c r="I183" s="83">
        <v>614.01000000000079</v>
      </c>
      <c r="J183" s="83">
        <v>0</v>
      </c>
      <c r="K183" s="83">
        <v>6.8240729321576277</v>
      </c>
      <c r="L183" s="83">
        <v>56.432146028140437</v>
      </c>
    </row>
    <row r="184" spans="1:12">
      <c r="A184" t="s">
        <v>402</v>
      </c>
      <c r="B184">
        <v>10183</v>
      </c>
      <c r="C184" s="83">
        <v>849.93000000000052</v>
      </c>
      <c r="D184" s="83">
        <v>91.968042289715015</v>
      </c>
      <c r="E184" s="83">
        <v>31.816687913813013</v>
      </c>
      <c r="F184">
        <v>2</v>
      </c>
      <c r="G184" s="83">
        <v>9.0907938312836229</v>
      </c>
      <c r="H184" s="83">
        <v>2.85461675633</v>
      </c>
      <c r="I184" s="83">
        <v>622.83000000000061</v>
      </c>
      <c r="J184" s="83">
        <v>2.3215744669310081</v>
      </c>
      <c r="K184" s="83">
        <v>15.152463812196846</v>
      </c>
      <c r="L184" s="83">
        <v>27.521312257413697</v>
      </c>
    </row>
    <row r="185" spans="1:12">
      <c r="A185" t="s">
        <v>403</v>
      </c>
      <c r="B185">
        <v>10184</v>
      </c>
      <c r="C185" s="83">
        <v>816.89000000000055</v>
      </c>
      <c r="D185" s="83">
        <v>80.219024656557025</v>
      </c>
      <c r="E185" s="83">
        <v>64.778760023223541</v>
      </c>
      <c r="F185">
        <v>2</v>
      </c>
      <c r="G185" s="83">
        <v>8.7796282369427647</v>
      </c>
      <c r="H185" s="83">
        <v>4.5592679289199998</v>
      </c>
      <c r="I185" s="83">
        <v>622.83000000000061</v>
      </c>
      <c r="J185" s="83">
        <v>2.2156585475834558</v>
      </c>
      <c r="K185" s="83">
        <v>2.7024898243447466</v>
      </c>
      <c r="L185" s="83">
        <v>64.975897016527412</v>
      </c>
    </row>
    <row r="186" spans="1:12">
      <c r="A186" t="s">
        <v>404</v>
      </c>
      <c r="B186">
        <v>10185</v>
      </c>
      <c r="C186" s="83">
        <v>832.82000000000062</v>
      </c>
      <c r="D186" s="83">
        <v>64.721942850139371</v>
      </c>
      <c r="E186" s="83">
        <v>78.71701682477017</v>
      </c>
      <c r="F186">
        <v>4</v>
      </c>
      <c r="G186" s="83">
        <v>7.3242108563782304</v>
      </c>
      <c r="H186" s="83">
        <v>4.5531755540800001</v>
      </c>
      <c r="I186" s="83">
        <v>608.69000000000074</v>
      </c>
      <c r="J186" s="83">
        <v>19.98067595523872</v>
      </c>
      <c r="K186" s="83">
        <v>6.7147138354609153</v>
      </c>
      <c r="L186" s="83">
        <v>78.038431174668901</v>
      </c>
    </row>
    <row r="187" spans="1:12">
      <c r="A187" t="s">
        <v>405</v>
      </c>
      <c r="B187">
        <v>10186</v>
      </c>
      <c r="C187" s="83">
        <v>884.95000000000039</v>
      </c>
      <c r="D187" s="83">
        <v>84.891870705758322</v>
      </c>
      <c r="E187" s="83">
        <v>61.231224393147045</v>
      </c>
      <c r="F187">
        <v>4</v>
      </c>
      <c r="G187" s="83">
        <v>7.6348000156518685</v>
      </c>
      <c r="H187" s="83">
        <v>3.79291341833</v>
      </c>
      <c r="I187" s="83">
        <v>608.69000000000074</v>
      </c>
      <c r="J187" s="83">
        <v>6.765769564300844</v>
      </c>
      <c r="K187" s="83">
        <v>10.444099895559003</v>
      </c>
      <c r="L187" s="83">
        <v>58.167500510326178</v>
      </c>
    </row>
    <row r="188" spans="1:12">
      <c r="A188" t="s">
        <v>406</v>
      </c>
      <c r="B188">
        <v>10187</v>
      </c>
      <c r="C188" s="83">
        <v>875.90000000000032</v>
      </c>
      <c r="D188" s="83">
        <v>76.889240538428766</v>
      </c>
      <c r="E188" s="83">
        <v>77.464670808307957</v>
      </c>
      <c r="F188">
        <v>4</v>
      </c>
      <c r="G188" s="83">
        <v>11.024399949023616</v>
      </c>
      <c r="H188" s="83">
        <v>4.3785487871699997</v>
      </c>
      <c r="I188" s="83">
        <v>600.35000000000093</v>
      </c>
      <c r="J188" s="83">
        <v>3.6836591541486055</v>
      </c>
      <c r="K188" s="83">
        <v>1.9805999207760032</v>
      </c>
      <c r="L188" s="83">
        <v>75.855499849781552</v>
      </c>
    </row>
    <row r="189" spans="1:12">
      <c r="A189" t="s">
        <v>407</v>
      </c>
      <c r="B189">
        <v>10188</v>
      </c>
      <c r="C189" s="83">
        <v>876.9200000000003</v>
      </c>
      <c r="D189" s="83">
        <v>84.667995983531327</v>
      </c>
      <c r="E189" s="83">
        <v>76.727265173188599</v>
      </c>
      <c r="F189">
        <v>4</v>
      </c>
      <c r="G189" s="83">
        <v>9.0823999961757718</v>
      </c>
      <c r="H189" s="83">
        <v>4.39667870247</v>
      </c>
      <c r="I189" s="83">
        <v>600.35000000000093</v>
      </c>
      <c r="J189" s="83">
        <v>3.3606555544777303</v>
      </c>
      <c r="K189" s="83">
        <v>2.4478999755210005</v>
      </c>
      <c r="L189" s="83">
        <v>73.823399344767651</v>
      </c>
    </row>
    <row r="190" spans="1:12">
      <c r="A190" t="s">
        <v>408</v>
      </c>
      <c r="B190">
        <v>10189</v>
      </c>
      <c r="C190" s="83">
        <v>894.27000000000044</v>
      </c>
      <c r="D190" s="83">
        <v>91.037747392887638</v>
      </c>
      <c r="E190" s="83">
        <v>66.040010644120258</v>
      </c>
      <c r="F190">
        <v>4</v>
      </c>
      <c r="G190" s="83">
        <v>8.3846999076119406</v>
      </c>
      <c r="H190" s="83">
        <v>4.08529392292</v>
      </c>
      <c r="I190" s="83">
        <v>591.31000000000085</v>
      </c>
      <c r="J190" s="83">
        <v>0.24113262830527554</v>
      </c>
      <c r="K190" s="83">
        <v>3.0614998775400051</v>
      </c>
      <c r="L190" s="83">
        <v>66.136799816522256</v>
      </c>
    </row>
    <row r="191" spans="1:12">
      <c r="A191" t="s">
        <v>409</v>
      </c>
      <c r="B191">
        <v>10190</v>
      </c>
      <c r="C191" s="83">
        <v>918.01000000000056</v>
      </c>
      <c r="D191" s="83">
        <v>87.331709958928585</v>
      </c>
      <c r="E191" s="83">
        <v>66.216638902393953</v>
      </c>
      <c r="F191">
        <v>4</v>
      </c>
      <c r="G191" s="83">
        <v>10.355217868905482</v>
      </c>
      <c r="H191" s="83">
        <v>4.3722761632299996</v>
      </c>
      <c r="I191" s="83">
        <v>591.31000000000085</v>
      </c>
      <c r="J191" s="83">
        <v>27.504164384243644</v>
      </c>
      <c r="K191" s="83">
        <v>2.4455211935814245</v>
      </c>
      <c r="L191" s="83">
        <v>66.929379955916858</v>
      </c>
    </row>
    <row r="192" spans="1:12">
      <c r="A192" t="s">
        <v>410</v>
      </c>
      <c r="B192">
        <v>10191</v>
      </c>
      <c r="C192" s="83">
        <v>931.98000000000025</v>
      </c>
      <c r="D192" s="83">
        <v>82.808963693174974</v>
      </c>
      <c r="E192" s="83">
        <v>30.176849445981468</v>
      </c>
      <c r="F192">
        <v>4</v>
      </c>
      <c r="G192" s="83">
        <v>28.375099790248907</v>
      </c>
      <c r="H192" s="83">
        <v>5.2664626771399998</v>
      </c>
      <c r="I192" s="83">
        <v>590.44000000000074</v>
      </c>
      <c r="J192" s="83">
        <v>27.750410721348008</v>
      </c>
      <c r="K192" s="83">
        <v>3.7908999620910002</v>
      </c>
      <c r="L192" s="83">
        <v>32.409199939909641</v>
      </c>
    </row>
    <row r="193" spans="1:12">
      <c r="A193" t="s">
        <v>411</v>
      </c>
      <c r="B193">
        <v>10192</v>
      </c>
      <c r="C193" s="83">
        <v>913.86000000000058</v>
      </c>
      <c r="D193" s="83">
        <v>64.796629742835393</v>
      </c>
      <c r="E193" s="83">
        <v>65.188090306399602</v>
      </c>
      <c r="F193">
        <v>6</v>
      </c>
      <c r="G193" s="83">
        <v>8.8579998999999781</v>
      </c>
      <c r="H193" s="83">
        <v>7.1510740825899992</v>
      </c>
      <c r="I193" s="83">
        <v>590.44000000000074</v>
      </c>
      <c r="J193" s="83">
        <v>27.471469691749672</v>
      </c>
      <c r="K193" s="83">
        <v>5.2866999999999997</v>
      </c>
      <c r="L193" s="83">
        <v>67.234599360997478</v>
      </c>
    </row>
    <row r="194" spans="1:12">
      <c r="A194" t="s">
        <v>412</v>
      </c>
      <c r="B194">
        <v>10193</v>
      </c>
      <c r="C194" s="83">
        <v>912.50000000000034</v>
      </c>
      <c r="D194" s="83">
        <v>32.093796891887891</v>
      </c>
      <c r="E194" s="83">
        <v>65.279310593215101</v>
      </c>
      <c r="F194">
        <v>6</v>
      </c>
      <c r="G194" s="83">
        <v>12.419300396034144</v>
      </c>
      <c r="H194" s="83">
        <v>9.4286699666700002</v>
      </c>
      <c r="I194" s="83">
        <v>593.8500000000007</v>
      </c>
      <c r="J194" s="83">
        <v>27.438576988210205</v>
      </c>
      <c r="K194" s="83">
        <v>4.1554997922250108</v>
      </c>
      <c r="L194" s="83">
        <v>67.913199929342468</v>
      </c>
    </row>
    <row r="195" spans="1:12">
      <c r="A195" t="s">
        <v>413</v>
      </c>
      <c r="B195">
        <v>10194</v>
      </c>
      <c r="C195" s="83">
        <v>942.51000000000022</v>
      </c>
      <c r="D195" s="83">
        <v>68.244121309922122</v>
      </c>
      <c r="E195" s="83">
        <v>37.232649196066546</v>
      </c>
      <c r="F195">
        <v>6</v>
      </c>
      <c r="G195" s="83">
        <v>11.92229977110776</v>
      </c>
      <c r="H195" s="83">
        <v>5.4080494582599998</v>
      </c>
      <c r="I195" s="83">
        <v>593.8500000000007</v>
      </c>
      <c r="J195" s="83">
        <v>29.423020991079383</v>
      </c>
      <c r="K195" s="83">
        <v>6.1902997523880101</v>
      </c>
      <c r="L195" s="83">
        <v>40.329600973820895</v>
      </c>
    </row>
    <row r="196" spans="1:12">
      <c r="A196" t="s">
        <v>414</v>
      </c>
      <c r="B196">
        <v>10195</v>
      </c>
      <c r="C196" s="83">
        <v>994.20000000000039</v>
      </c>
      <c r="D196" s="83">
        <v>92.954162816487539</v>
      </c>
      <c r="E196" s="83">
        <v>23.126849902249408</v>
      </c>
      <c r="F196">
        <v>6</v>
      </c>
      <c r="G196" s="83">
        <v>6.5059000889410061</v>
      </c>
      <c r="H196" s="83">
        <v>4.1906957593999996</v>
      </c>
      <c r="I196" s="83">
        <v>593.35000000000059</v>
      </c>
      <c r="J196" s="83">
        <v>3.1032847417923013</v>
      </c>
      <c r="K196" s="83">
        <v>5.304099946959</v>
      </c>
      <c r="L196" s="83">
        <v>26.650599556499117</v>
      </c>
    </row>
    <row r="197" spans="1:12">
      <c r="A197" t="s">
        <v>415</v>
      </c>
      <c r="B197">
        <v>10196</v>
      </c>
      <c r="C197" s="83">
        <v>990.22000000000048</v>
      </c>
      <c r="D197" s="83">
        <v>80.577508590678335</v>
      </c>
      <c r="E197" s="83">
        <v>44.043561144865656</v>
      </c>
      <c r="F197">
        <v>6</v>
      </c>
      <c r="G197" s="83">
        <v>8.9999999280000047</v>
      </c>
      <c r="H197" s="83">
        <v>4.87550926742</v>
      </c>
      <c r="I197" s="83">
        <v>593.35000000000059</v>
      </c>
      <c r="J197" s="83">
        <v>3.1758440612937497</v>
      </c>
      <c r="K197" s="83">
        <v>3.4596</v>
      </c>
      <c r="L197" s="83">
        <v>47.528201170001743</v>
      </c>
    </row>
    <row r="198" spans="1:12">
      <c r="A198" t="s">
        <v>416</v>
      </c>
      <c r="B198">
        <v>10197</v>
      </c>
      <c r="C198" s="83">
        <v>980.97000000000025</v>
      </c>
      <c r="D198" s="83">
        <v>76.153983780562896</v>
      </c>
      <c r="E198" s="83">
        <v>52.238164488593689</v>
      </c>
      <c r="F198">
        <v>6</v>
      </c>
      <c r="G198" s="83">
        <v>8.5146997952647752</v>
      </c>
      <c r="H198" s="83">
        <v>4.7939219605699996</v>
      </c>
      <c r="I198" s="83">
        <v>600.02000000000066</v>
      </c>
      <c r="J198" s="83">
        <v>3.757972560027</v>
      </c>
      <c r="K198" s="83">
        <v>5.4297695859286277</v>
      </c>
      <c r="L198" s="83">
        <v>56.245914231541725</v>
      </c>
    </row>
    <row r="199" spans="1:12">
      <c r="A199" t="s">
        <v>417</v>
      </c>
      <c r="B199">
        <v>10198</v>
      </c>
      <c r="C199" s="83">
        <v>987.90000000000055</v>
      </c>
      <c r="D199" s="83">
        <v>47.451877749779904</v>
      </c>
      <c r="E199" s="83">
        <v>68.061769761087717</v>
      </c>
      <c r="F199">
        <v>6</v>
      </c>
      <c r="G199" s="83">
        <v>9.9333002359998215</v>
      </c>
      <c r="H199" s="83">
        <v>8.0398712193099993</v>
      </c>
      <c r="I199" s="83">
        <v>600.02000000000066</v>
      </c>
      <c r="J199" s="83">
        <v>10.655606397417859</v>
      </c>
      <c r="K199" s="83">
        <v>1.3697999999999999</v>
      </c>
      <c r="L199" s="83">
        <v>73.272799260001705</v>
      </c>
    </row>
    <row r="200" spans="1:12">
      <c r="A200" t="s">
        <v>418</v>
      </c>
      <c r="B200">
        <v>10199</v>
      </c>
      <c r="C200" s="83">
        <v>1005.86</v>
      </c>
      <c r="D200" s="83">
        <v>34.696337817834802</v>
      </c>
      <c r="E200" s="83">
        <v>59.450109356673899</v>
      </c>
      <c r="F200">
        <v>6</v>
      </c>
      <c r="G200" s="83">
        <v>13.056700044999953</v>
      </c>
      <c r="H200" s="83">
        <v>9.8179132644599996</v>
      </c>
      <c r="I200" s="83">
        <v>610.60000000000082</v>
      </c>
      <c r="J200" s="83">
        <v>10.161618085106456</v>
      </c>
      <c r="K200" s="83">
        <v>4.9908999999999999</v>
      </c>
      <c r="L200" s="83">
        <v>60.632700241003171</v>
      </c>
    </row>
    <row r="201" spans="1:12">
      <c r="A201" t="s">
        <v>419</v>
      </c>
      <c r="B201">
        <v>10200</v>
      </c>
      <c r="C201" s="83">
        <v>1000.5500000000002</v>
      </c>
      <c r="D201" s="83">
        <v>25.897025613994675</v>
      </c>
      <c r="E201" s="83">
        <v>71.394655936311622</v>
      </c>
      <c r="F201">
        <v>6</v>
      </c>
      <c r="G201" s="83">
        <v>10.033100350344027</v>
      </c>
      <c r="H201" s="83">
        <v>11.3436572154</v>
      </c>
      <c r="I201" s="83">
        <v>610.60000000000082</v>
      </c>
      <c r="J201" s="83">
        <v>10.198530800775393</v>
      </c>
      <c r="K201" s="83">
        <v>2.8314998584250071</v>
      </c>
      <c r="L201" s="83">
        <v>72.499698797016521</v>
      </c>
    </row>
    <row r="202" spans="1:12">
      <c r="A202" t="s">
        <v>420</v>
      </c>
      <c r="B202">
        <v>10201</v>
      </c>
      <c r="C202" s="83">
        <v>945.55000000000041</v>
      </c>
      <c r="D202" s="83">
        <v>40.226437542730437</v>
      </c>
      <c r="E202" s="83">
        <v>53.044674761397737</v>
      </c>
      <c r="F202">
        <v>6</v>
      </c>
      <c r="G202" s="83">
        <v>17.000899723000238</v>
      </c>
      <c r="H202" s="83">
        <v>9.7918496632899998</v>
      </c>
      <c r="I202" s="83">
        <v>623.55000000000086</v>
      </c>
      <c r="J202" s="83">
        <v>77.216917592002062</v>
      </c>
      <c r="K202" s="83">
        <v>4.3554000000000004</v>
      </c>
      <c r="L202" s="83">
        <v>56.127700585004135</v>
      </c>
    </row>
    <row r="203" spans="1:12">
      <c r="A203" t="s">
        <v>421</v>
      </c>
      <c r="B203">
        <v>10202</v>
      </c>
      <c r="C203" s="83">
        <v>940.11000000000035</v>
      </c>
      <c r="D203" s="83">
        <v>25.556649387238913</v>
      </c>
      <c r="E203" s="83">
        <v>62.590007152217176</v>
      </c>
      <c r="F203">
        <v>6</v>
      </c>
      <c r="G203" s="83">
        <v>14.1401995379897</v>
      </c>
      <c r="H203" s="83">
        <v>12.9180723434</v>
      </c>
      <c r="I203" s="83">
        <v>623.55000000000086</v>
      </c>
      <c r="J203" s="83">
        <v>61.820282563576214</v>
      </c>
      <c r="K203" s="83">
        <v>1.9353999032300049</v>
      </c>
      <c r="L203" s="83">
        <v>64.959500518030097</v>
      </c>
    </row>
    <row r="204" spans="1:12">
      <c r="A204" t="s">
        <v>422</v>
      </c>
      <c r="B204">
        <v>10203</v>
      </c>
      <c r="C204" s="83">
        <v>946.4100000000002</v>
      </c>
      <c r="D204" s="83">
        <v>22.12645474348086</v>
      </c>
      <c r="E204" s="83">
        <v>74.957054666129608</v>
      </c>
      <c r="F204">
        <v>6</v>
      </c>
      <c r="G204" s="83">
        <v>6.9713998940002435</v>
      </c>
      <c r="H204" s="83">
        <v>11.5560578907</v>
      </c>
      <c r="I204" s="83">
        <v>625.7400000000008</v>
      </c>
      <c r="J204" s="83">
        <v>62.613275440335144</v>
      </c>
      <c r="K204" s="83">
        <v>1.7874000000000001</v>
      </c>
      <c r="L204" s="83">
        <v>75.748100010003242</v>
      </c>
    </row>
    <row r="205" spans="1:12">
      <c r="A205" t="s">
        <v>423</v>
      </c>
      <c r="B205">
        <v>10204</v>
      </c>
      <c r="C205" s="83">
        <v>967.51000000000045</v>
      </c>
      <c r="D205" s="83">
        <v>20.965796855216063</v>
      </c>
      <c r="E205" s="83">
        <v>64.495813299498877</v>
      </c>
      <c r="F205">
        <v>6</v>
      </c>
      <c r="G205" s="83">
        <v>11.244099942794501</v>
      </c>
      <c r="H205" s="83">
        <v>11.5385558549</v>
      </c>
      <c r="I205" s="83">
        <v>625.7400000000008</v>
      </c>
      <c r="J205" s="83">
        <v>23.469079466039382</v>
      </c>
      <c r="K205" s="83">
        <v>4.1690997915450101</v>
      </c>
      <c r="L205" s="83">
        <v>65.166999834651222</v>
      </c>
    </row>
    <row r="206" spans="1:12">
      <c r="A206" t="s">
        <v>424</v>
      </c>
      <c r="B206">
        <v>10205</v>
      </c>
      <c r="C206" s="83">
        <v>986.09000000000015</v>
      </c>
      <c r="D206" s="83">
        <v>34.771910970117617</v>
      </c>
      <c r="E206" s="83">
        <v>65.849864596829576</v>
      </c>
      <c r="F206">
        <v>6</v>
      </c>
      <c r="G206" s="83">
        <v>8.7101999909998984</v>
      </c>
      <c r="H206" s="83">
        <v>9.0325177851099987</v>
      </c>
      <c r="I206" s="83">
        <v>627.01000000000045</v>
      </c>
      <c r="J206" s="83">
        <v>26.409344936817401</v>
      </c>
      <c r="K206" s="83">
        <v>4.2808999999999999</v>
      </c>
      <c r="L206" s="83">
        <v>68.287301183997755</v>
      </c>
    </row>
    <row r="207" spans="1:12">
      <c r="A207" t="s">
        <v>425</v>
      </c>
      <c r="B207">
        <v>10206</v>
      </c>
      <c r="C207" s="83">
        <v>1018.4000000000005</v>
      </c>
      <c r="D207" s="83">
        <v>45.667088088270035</v>
      </c>
      <c r="E207" s="83">
        <v>52.727027639400269</v>
      </c>
      <c r="F207">
        <v>7</v>
      </c>
      <c r="G207" s="83">
        <v>17.98855942681887</v>
      </c>
      <c r="H207" s="83">
        <v>8.1268531638999999</v>
      </c>
      <c r="I207" s="83">
        <v>627.01000000000045</v>
      </c>
      <c r="J207" s="83">
        <v>26.240255343280495</v>
      </c>
      <c r="K207" s="83">
        <v>6.6731908686922967</v>
      </c>
      <c r="L207" s="83">
        <v>53.055080471157943</v>
      </c>
    </row>
    <row r="208" spans="1:12">
      <c r="A208" t="s">
        <v>426</v>
      </c>
      <c r="B208">
        <v>10207</v>
      </c>
      <c r="C208" s="83">
        <v>1037.3200000000002</v>
      </c>
      <c r="D208" s="83">
        <v>33.457852450206339</v>
      </c>
      <c r="E208" s="83">
        <v>50.631674607759301</v>
      </c>
      <c r="F208">
        <v>7</v>
      </c>
      <c r="G208" s="83">
        <v>13.899075277023258</v>
      </c>
      <c r="H208" s="83">
        <v>11.0877216594</v>
      </c>
      <c r="I208" s="83">
        <v>622.12000000000057</v>
      </c>
      <c r="J208" s="83">
        <v>3.1152320711059081</v>
      </c>
      <c r="K208" s="83">
        <v>5.7916799118734215</v>
      </c>
      <c r="L208" s="83">
        <v>48.852659108008048</v>
      </c>
    </row>
    <row r="209" spans="1:12">
      <c r="A209" t="s">
        <v>427</v>
      </c>
      <c r="B209">
        <v>10208</v>
      </c>
      <c r="C209" s="83">
        <v>1046.5600000000004</v>
      </c>
      <c r="D209" s="83">
        <v>81.24129370175126</v>
      </c>
      <c r="E209" s="83">
        <v>59.140824573596028</v>
      </c>
      <c r="F209">
        <v>7</v>
      </c>
      <c r="G209" s="83">
        <v>9.634999923599791</v>
      </c>
      <c r="H209" s="83">
        <v>4.7012596045599997</v>
      </c>
      <c r="I209" s="83">
        <v>622.12000000000057</v>
      </c>
      <c r="J209" s="83">
        <v>0.36748470609819128</v>
      </c>
      <c r="K209" s="83">
        <v>4.794699808212008</v>
      </c>
      <c r="L209" s="83">
        <v>58.708100070674654</v>
      </c>
    </row>
    <row r="210" spans="1:12">
      <c r="A210" t="s">
        <v>428</v>
      </c>
      <c r="B210">
        <v>10209</v>
      </c>
      <c r="C210" s="83">
        <v>1062.96</v>
      </c>
      <c r="D210" s="83">
        <v>77.51635670560637</v>
      </c>
      <c r="E210" s="83">
        <v>35.741757763930224</v>
      </c>
      <c r="F210">
        <v>7</v>
      </c>
      <c r="G210" s="83">
        <v>25.893652092247024</v>
      </c>
      <c r="H210" s="83">
        <v>5.7232773321199994</v>
      </c>
      <c r="I210" s="83">
        <v>615.82000000000085</v>
      </c>
      <c r="J210" s="83">
        <v>0.90626448714510888</v>
      </c>
      <c r="K210" s="83">
        <v>4.2601752689504853</v>
      </c>
      <c r="L210" s="83">
        <v>38.320911716673102</v>
      </c>
    </row>
    <row r="211" spans="1:12">
      <c r="A211" t="s">
        <v>429</v>
      </c>
      <c r="B211">
        <v>10210</v>
      </c>
      <c r="C211" s="83">
        <v>875.6500000000002</v>
      </c>
      <c r="D211" s="83">
        <v>68.868461215036319</v>
      </c>
      <c r="E211" s="83">
        <v>32.460597099721497</v>
      </c>
      <c r="F211">
        <v>2</v>
      </c>
      <c r="G211" s="83">
        <v>16.032014249163378</v>
      </c>
      <c r="H211" s="83">
        <v>3.4222793776199998</v>
      </c>
      <c r="I211" s="83">
        <v>632.84000000000037</v>
      </c>
      <c r="J211" s="83">
        <v>2.5019599444538199</v>
      </c>
      <c r="K211" s="83">
        <v>7.0554013171475525</v>
      </c>
      <c r="L211" s="83">
        <v>31.564095371651131</v>
      </c>
    </row>
    <row r="212" spans="1:12">
      <c r="A212" t="s">
        <v>430</v>
      </c>
      <c r="B212">
        <v>10211</v>
      </c>
      <c r="C212" s="83">
        <v>853.26000000000022</v>
      </c>
      <c r="D212" s="83">
        <v>83.345977752019351</v>
      </c>
      <c r="E212" s="83">
        <v>50.435904095201508</v>
      </c>
      <c r="F212">
        <v>2</v>
      </c>
      <c r="G212" s="83">
        <v>6.9452998903593652</v>
      </c>
      <c r="H212" s="83">
        <v>3.7762510189899996</v>
      </c>
      <c r="I212" s="83">
        <v>622.83000000000061</v>
      </c>
      <c r="J212" s="83">
        <v>6.5745382475076743</v>
      </c>
      <c r="K212" s="83">
        <v>9.7494002924820098</v>
      </c>
      <c r="L212" s="83">
        <v>47.891499338741426</v>
      </c>
    </row>
    <row r="213" spans="1:12">
      <c r="A213" t="s">
        <v>431</v>
      </c>
      <c r="B213">
        <v>10212</v>
      </c>
      <c r="C213" s="83">
        <v>846.10000000000059</v>
      </c>
      <c r="D213" s="83">
        <v>52.775358550343626</v>
      </c>
      <c r="E213" s="83">
        <v>69.782811256177126</v>
      </c>
      <c r="F213">
        <v>2</v>
      </c>
      <c r="G213" s="83">
        <v>8.8135407350087256</v>
      </c>
      <c r="H213" s="83">
        <v>7.6316901309199991</v>
      </c>
      <c r="I213" s="83">
        <v>622.83000000000061</v>
      </c>
      <c r="J213" s="83">
        <v>4.4737707853867068</v>
      </c>
      <c r="K213" s="83">
        <v>1.8425043003900614</v>
      </c>
      <c r="L213" s="83">
        <v>73.97192940987189</v>
      </c>
    </row>
    <row r="214" spans="1:12">
      <c r="A214" t="s">
        <v>432</v>
      </c>
      <c r="B214">
        <v>10213</v>
      </c>
      <c r="C214" s="83">
        <v>851.14000000000055</v>
      </c>
      <c r="D214" s="83">
        <v>89.149684164887915</v>
      </c>
      <c r="E214" s="83">
        <v>65.649600048371227</v>
      </c>
      <c r="F214">
        <v>4</v>
      </c>
      <c r="G214" s="83">
        <v>11.529692130030091</v>
      </c>
      <c r="H214" s="83">
        <v>3.7514918088899996</v>
      </c>
      <c r="I214" s="83">
        <v>608.69000000000074</v>
      </c>
      <c r="J214" s="83">
        <v>2.7234917591287617</v>
      </c>
      <c r="K214" s="83">
        <v>7.5064956292445109</v>
      </c>
      <c r="L214" s="83">
        <v>60.180284703328091</v>
      </c>
    </row>
    <row r="215" spans="1:12">
      <c r="A215" t="s">
        <v>433</v>
      </c>
      <c r="B215">
        <v>10214</v>
      </c>
      <c r="C215" s="83">
        <v>879.82000000000062</v>
      </c>
      <c r="D215" s="83">
        <v>86.590754585341358</v>
      </c>
      <c r="E215" s="83">
        <v>67.736170869076119</v>
      </c>
      <c r="F215">
        <v>4</v>
      </c>
      <c r="G215" s="83">
        <v>6.755742633723103</v>
      </c>
      <c r="H215" s="83">
        <v>4.1746658346799999</v>
      </c>
      <c r="I215" s="83">
        <v>608.69000000000074</v>
      </c>
      <c r="J215" s="83">
        <v>0.86656730417496663</v>
      </c>
      <c r="K215" s="83">
        <v>7.3794379054011205</v>
      </c>
      <c r="L215" s="83">
        <v>65.903548265371143</v>
      </c>
    </row>
    <row r="216" spans="1:12">
      <c r="A216" t="s">
        <v>434</v>
      </c>
      <c r="B216">
        <v>10215</v>
      </c>
      <c r="C216" s="83">
        <v>872.30000000000018</v>
      </c>
      <c r="D216" s="83">
        <v>82.193830961500367</v>
      </c>
      <c r="E216" s="83">
        <v>71.660088554881185</v>
      </c>
      <c r="F216">
        <v>4</v>
      </c>
      <c r="G216" s="83">
        <v>12.246099914539</v>
      </c>
      <c r="H216" s="83">
        <v>4.57687045676</v>
      </c>
      <c r="I216" s="83">
        <v>600.35000000000093</v>
      </c>
      <c r="J216" s="83">
        <v>14.753766365250501</v>
      </c>
      <c r="K216" s="83">
        <v>3.0563999694360002</v>
      </c>
      <c r="L216" s="83">
        <v>71.00880010091528</v>
      </c>
    </row>
    <row r="217" spans="1:12">
      <c r="A217" t="s">
        <v>435</v>
      </c>
      <c r="B217">
        <v>10216</v>
      </c>
      <c r="C217" s="83">
        <v>869.55000000000052</v>
      </c>
      <c r="D217" s="83">
        <v>79.187948028286939</v>
      </c>
      <c r="E217" s="83">
        <v>75.992069452746364</v>
      </c>
      <c r="F217">
        <v>4</v>
      </c>
      <c r="G217" s="83">
        <v>9.5268004235356329</v>
      </c>
      <c r="H217" s="83">
        <v>5.0913040277499997</v>
      </c>
      <c r="I217" s="83">
        <v>600.35000000000093</v>
      </c>
      <c r="J217" s="83">
        <v>42.653703380335656</v>
      </c>
      <c r="K217" s="83">
        <v>2.607700052154001</v>
      </c>
      <c r="L217" s="83">
        <v>74.85689926313907</v>
      </c>
    </row>
    <row r="218" spans="1:12">
      <c r="A218" t="s">
        <v>436</v>
      </c>
      <c r="B218">
        <v>10217</v>
      </c>
      <c r="C218" s="83">
        <v>880.24000000000046</v>
      </c>
      <c r="D218" s="83">
        <v>93.061472194065942</v>
      </c>
      <c r="E218" s="83">
        <v>68.373840912107141</v>
      </c>
      <c r="F218">
        <v>4</v>
      </c>
      <c r="G218" s="83">
        <v>9.5277998597220321</v>
      </c>
      <c r="H218" s="83">
        <v>4.3877919857599998</v>
      </c>
      <c r="I218" s="83">
        <v>591.31000000000085</v>
      </c>
      <c r="J218" s="83">
        <v>0.93316682585263566</v>
      </c>
      <c r="K218" s="83">
        <v>2.4167999758320002</v>
      </c>
      <c r="L218" s="83">
        <v>69.851900015477028</v>
      </c>
    </row>
    <row r="219" spans="1:12">
      <c r="A219" t="s">
        <v>437</v>
      </c>
      <c r="B219">
        <v>10218</v>
      </c>
      <c r="C219" s="83">
        <v>886.33000000000027</v>
      </c>
      <c r="D219" s="83">
        <v>84.322629783833776</v>
      </c>
      <c r="E219" s="83">
        <v>59.892387710748295</v>
      </c>
      <c r="F219">
        <v>4</v>
      </c>
      <c r="G219" s="83">
        <v>8.2160001624801975</v>
      </c>
      <c r="H219" s="83">
        <v>5.1922937526899995</v>
      </c>
      <c r="I219" s="83">
        <v>591.31000000000085</v>
      </c>
      <c r="J219" s="83">
        <v>27.74640210047189</v>
      </c>
      <c r="K219" s="83">
        <v>4.0054001201620038</v>
      </c>
      <c r="L219" s="83">
        <v>61.560300634809337</v>
      </c>
    </row>
    <row r="220" spans="1:12">
      <c r="A220" t="s">
        <v>438</v>
      </c>
      <c r="B220">
        <v>10219</v>
      </c>
      <c r="C220" s="83">
        <v>892.23000000000013</v>
      </c>
      <c r="D220" s="83">
        <v>48.056010507396365</v>
      </c>
      <c r="E220" s="83">
        <v>66.039694834446692</v>
      </c>
      <c r="F220">
        <v>6</v>
      </c>
      <c r="G220" s="83">
        <v>8.7985999669721657</v>
      </c>
      <c r="H220" s="83">
        <v>7.2555674195499993</v>
      </c>
      <c r="I220" s="83">
        <v>590.44000000000074</v>
      </c>
      <c r="J220" s="83">
        <v>98.087942176294362</v>
      </c>
      <c r="K220" s="83">
        <v>4.1130000822600019</v>
      </c>
      <c r="L220" s="83">
        <v>68.011900121235385</v>
      </c>
    </row>
    <row r="221" spans="1:12">
      <c r="A221" t="s">
        <v>439</v>
      </c>
      <c r="B221">
        <v>10220</v>
      </c>
      <c r="C221" s="83">
        <v>875.16000000000042</v>
      </c>
      <c r="D221" s="83">
        <v>56.451641737309345</v>
      </c>
      <c r="E221" s="83">
        <v>50.779678982441624</v>
      </c>
      <c r="F221">
        <v>6</v>
      </c>
      <c r="G221" s="83">
        <v>12.533299742999503</v>
      </c>
      <c r="H221" s="83">
        <v>6.9841217883999995</v>
      </c>
      <c r="I221" s="83">
        <v>590.44000000000074</v>
      </c>
      <c r="J221" s="83">
        <v>27.443204067497796</v>
      </c>
      <c r="K221" s="83">
        <v>3.143900094317003</v>
      </c>
      <c r="L221" s="83">
        <v>53.816500593490233</v>
      </c>
    </row>
    <row r="222" spans="1:12">
      <c r="A222" t="s">
        <v>440</v>
      </c>
      <c r="B222">
        <v>10221</v>
      </c>
      <c r="C222" s="83">
        <v>874.68000000000029</v>
      </c>
      <c r="D222" s="83">
        <v>29.253024625300778</v>
      </c>
      <c r="E222" s="83">
        <v>66.42976608895097</v>
      </c>
      <c r="F222">
        <v>6</v>
      </c>
      <c r="G222" s="83">
        <v>8.8209000705817324</v>
      </c>
      <c r="H222" s="83">
        <v>9.1000319132099996</v>
      </c>
      <c r="I222" s="83">
        <v>593.8500000000007</v>
      </c>
      <c r="J222" s="83">
        <v>27.412001031382438</v>
      </c>
      <c r="K222" s="83">
        <v>4.321299913574002</v>
      </c>
      <c r="L222" s="83">
        <v>69.073800031521955</v>
      </c>
    </row>
    <row r="223" spans="1:12">
      <c r="A223" t="s">
        <v>441</v>
      </c>
      <c r="B223">
        <v>10222</v>
      </c>
      <c r="C223" s="83">
        <v>917.51000000000022</v>
      </c>
      <c r="D223" s="83">
        <v>76.966763191422814</v>
      </c>
      <c r="E223" s="83">
        <v>14.667780454541525</v>
      </c>
      <c r="F223">
        <v>6</v>
      </c>
      <c r="G223" s="83">
        <v>29.167999748319964</v>
      </c>
      <c r="H223" s="83">
        <v>5.7254977163199996</v>
      </c>
      <c r="I223" s="83">
        <v>593.8500000000007</v>
      </c>
      <c r="J223" s="83">
        <v>29.249779533200996</v>
      </c>
      <c r="K223" s="83">
        <v>5.2357999476420005</v>
      </c>
      <c r="L223" s="83">
        <v>17.17029892630034</v>
      </c>
    </row>
    <row r="224" spans="1:12">
      <c r="A224" t="s">
        <v>442</v>
      </c>
      <c r="B224">
        <v>10223</v>
      </c>
      <c r="C224" s="83">
        <v>957.28000000000031</v>
      </c>
      <c r="D224" s="83">
        <v>69.500898860641712</v>
      </c>
      <c r="E224" s="83">
        <v>26.332366545867025</v>
      </c>
      <c r="F224">
        <v>6</v>
      </c>
      <c r="G224" s="83">
        <v>9.9994001059882578</v>
      </c>
      <c r="H224" s="83">
        <v>6.0339342785899994</v>
      </c>
      <c r="I224" s="83">
        <v>593.35000000000059</v>
      </c>
      <c r="J224" s="83">
        <v>2.9752655786497892</v>
      </c>
      <c r="K224" s="83">
        <v>5.0427001008540024</v>
      </c>
      <c r="L224" s="83">
        <v>32.076301467521461</v>
      </c>
    </row>
    <row r="225" spans="1:12">
      <c r="A225" t="s">
        <v>443</v>
      </c>
      <c r="B225">
        <v>10224</v>
      </c>
      <c r="C225" s="83">
        <v>932.19000000000028</v>
      </c>
      <c r="D225" s="83">
        <v>48.095789754372447</v>
      </c>
      <c r="E225" s="83">
        <v>59.086531502856658</v>
      </c>
      <c r="F225">
        <v>6</v>
      </c>
      <c r="G225" s="83">
        <v>11.024299900729483</v>
      </c>
      <c r="H225" s="83">
        <v>7.9294214085499997</v>
      </c>
      <c r="I225" s="83">
        <v>593.35000000000059</v>
      </c>
      <c r="J225" s="83">
        <v>2.9359414038283171</v>
      </c>
      <c r="K225" s="83">
        <v>2.8728000861840028</v>
      </c>
      <c r="L225" s="83">
        <v>61.923800079711746</v>
      </c>
    </row>
    <row r="226" spans="1:12">
      <c r="A226" t="s">
        <v>444</v>
      </c>
      <c r="B226">
        <v>10225</v>
      </c>
      <c r="C226" s="83">
        <v>917.43000000000029</v>
      </c>
      <c r="D226" s="83">
        <v>49.890351691687613</v>
      </c>
      <c r="E226" s="83">
        <v>60.011075390143624</v>
      </c>
      <c r="F226">
        <v>6</v>
      </c>
      <c r="G226" s="83">
        <v>10.008000425839251</v>
      </c>
      <c r="H226" s="83">
        <v>7.0316980518599994</v>
      </c>
      <c r="I226" s="83">
        <v>600.02000000000066</v>
      </c>
      <c r="J226" s="83">
        <v>29.244765531953238</v>
      </c>
      <c r="K226" s="83">
        <v>3.4966999300660015</v>
      </c>
      <c r="L226" s="83">
        <v>60.656199243875911</v>
      </c>
    </row>
    <row r="227" spans="1:12">
      <c r="A227" t="s">
        <v>445</v>
      </c>
      <c r="B227">
        <v>10226</v>
      </c>
      <c r="C227" s="83">
        <v>928.59000000000015</v>
      </c>
      <c r="D227" s="83">
        <v>17.856038466041436</v>
      </c>
      <c r="E227" s="83">
        <v>73.81648687950171</v>
      </c>
      <c r="F227">
        <v>6</v>
      </c>
      <c r="G227" s="83">
        <v>13.322699775681658</v>
      </c>
      <c r="H227" s="83">
        <v>12.502434390600001</v>
      </c>
      <c r="I227" s="83">
        <v>600.02000000000066</v>
      </c>
      <c r="J227" s="83">
        <v>26.43802428453791</v>
      </c>
      <c r="K227" s="83">
        <v>2.115200063456002</v>
      </c>
      <c r="L227" s="83">
        <v>75.300800750025559</v>
      </c>
    </row>
    <row r="228" spans="1:12">
      <c r="A228" t="s">
        <v>446</v>
      </c>
      <c r="B228">
        <v>10227</v>
      </c>
      <c r="C228" s="83">
        <v>971.25000000000034</v>
      </c>
      <c r="D228" s="83">
        <v>28.610933239322591</v>
      </c>
      <c r="E228" s="83">
        <v>27.715611304688778</v>
      </c>
      <c r="F228">
        <v>6</v>
      </c>
      <c r="G228" s="83">
        <v>33.995429072051103</v>
      </c>
      <c r="H228" s="83">
        <v>11.836169545900001</v>
      </c>
      <c r="I228" s="83">
        <v>610.60000000000082</v>
      </c>
      <c r="J228" s="83">
        <v>91.3742060569204</v>
      </c>
      <c r="K228" s="83">
        <v>3.1416544491611265</v>
      </c>
      <c r="L228" s="83">
        <v>31.604591685271199</v>
      </c>
    </row>
    <row r="229" spans="1:12">
      <c r="A229" t="s">
        <v>447</v>
      </c>
      <c r="B229">
        <v>10228</v>
      </c>
      <c r="C229" s="83">
        <v>949.55</v>
      </c>
      <c r="D229" s="83">
        <v>8.1815544802485718</v>
      </c>
      <c r="E229" s="83">
        <v>67.657938811816607</v>
      </c>
      <c r="F229">
        <v>7</v>
      </c>
      <c r="G229" s="83">
        <v>11.946500204069622</v>
      </c>
      <c r="H229" s="83">
        <v>13.417681995700001</v>
      </c>
      <c r="I229" s="83">
        <v>610.60000000000082</v>
      </c>
      <c r="J229" s="83">
        <v>72.684389339438582</v>
      </c>
      <c r="K229" s="83">
        <v>1.5909999681800007</v>
      </c>
      <c r="L229" s="83">
        <v>70.657999693838619</v>
      </c>
    </row>
    <row r="230" spans="1:12">
      <c r="A230" t="s">
        <v>448</v>
      </c>
      <c r="B230">
        <v>10229</v>
      </c>
      <c r="C230" s="83">
        <v>898.17000000000041</v>
      </c>
      <c r="D230" s="83">
        <v>23.525848260608697</v>
      </c>
      <c r="E230" s="83">
        <v>48.567069775118647</v>
      </c>
      <c r="F230">
        <v>7</v>
      </c>
      <c r="G230" s="83">
        <v>22.436671864883888</v>
      </c>
      <c r="H230" s="83">
        <v>11.2414800508</v>
      </c>
      <c r="I230" s="83">
        <v>623.55000000000086</v>
      </c>
      <c r="J230" s="83">
        <v>75.788634208732717</v>
      </c>
      <c r="K230" s="83">
        <v>5.1938217929355837</v>
      </c>
      <c r="L230" s="83">
        <v>51.099652361892836</v>
      </c>
    </row>
    <row r="231" spans="1:12">
      <c r="A231" t="s">
        <v>449</v>
      </c>
      <c r="B231">
        <v>10230</v>
      </c>
      <c r="C231" s="83">
        <v>908.21000000000038</v>
      </c>
      <c r="D231" s="83">
        <v>4.2668804470172912</v>
      </c>
      <c r="E231" s="83">
        <v>62.29293954903671</v>
      </c>
      <c r="F231">
        <v>7</v>
      </c>
      <c r="G231" s="83">
        <v>15.392022507341643</v>
      </c>
      <c r="H231" s="83">
        <v>13.880826232</v>
      </c>
      <c r="I231" s="83">
        <v>623.55000000000086</v>
      </c>
      <c r="J231" s="83">
        <v>1.704116558429555</v>
      </c>
      <c r="K231" s="83">
        <v>1.6821998420993585</v>
      </c>
      <c r="L231" s="83">
        <v>65.489152610621474</v>
      </c>
    </row>
    <row r="232" spans="1:12">
      <c r="A232" t="s">
        <v>450</v>
      </c>
      <c r="B232">
        <v>10231</v>
      </c>
      <c r="C232" s="83">
        <v>921.85000000000014</v>
      </c>
      <c r="D232" s="83">
        <v>4.1420219633362114</v>
      </c>
      <c r="E232" s="83">
        <v>73.137140730851598</v>
      </c>
      <c r="F232">
        <v>7</v>
      </c>
      <c r="G232" s="83">
        <v>11.428359910623413</v>
      </c>
      <c r="H232" s="83">
        <v>12.9177377253</v>
      </c>
      <c r="I232" s="83">
        <v>625.7400000000008</v>
      </c>
      <c r="J232" s="83">
        <v>2.3888494809471812</v>
      </c>
      <c r="K232" s="83">
        <v>1.4456928550167889</v>
      </c>
      <c r="L232" s="83">
        <v>77.381479280711446</v>
      </c>
    </row>
    <row r="233" spans="1:12">
      <c r="A233" t="s">
        <v>451</v>
      </c>
      <c r="B233">
        <v>10232</v>
      </c>
      <c r="C233" s="83">
        <v>925.66000000000042</v>
      </c>
      <c r="D233" s="83">
        <v>12.924688692602722</v>
      </c>
      <c r="E233" s="83">
        <v>64.788738379553166</v>
      </c>
      <c r="F233">
        <v>7</v>
      </c>
      <c r="G233" s="83">
        <v>15.774020366862011</v>
      </c>
      <c r="H233" s="83">
        <v>12.061484158000001</v>
      </c>
      <c r="I233" s="83">
        <v>625.7400000000008</v>
      </c>
      <c r="J233" s="83">
        <v>4.1253849533570346</v>
      </c>
      <c r="K233" s="83">
        <v>4.2559020271706522</v>
      </c>
      <c r="L233" s="83">
        <v>64.568052024110102</v>
      </c>
    </row>
    <row r="234" spans="1:12">
      <c r="A234" t="s">
        <v>452</v>
      </c>
      <c r="B234">
        <v>10233</v>
      </c>
      <c r="C234" s="83">
        <v>921.39000000000055</v>
      </c>
      <c r="D234" s="83">
        <v>4.949488359358325</v>
      </c>
      <c r="E234" s="83">
        <v>74.20420132320821</v>
      </c>
      <c r="F234">
        <v>7</v>
      </c>
      <c r="G234" s="83">
        <v>9.9594408785005051</v>
      </c>
      <c r="H234" s="83">
        <v>12.867333028700001</v>
      </c>
      <c r="I234" s="83">
        <v>627.01000000000045</v>
      </c>
      <c r="J234" s="83">
        <v>5.04967368788747</v>
      </c>
      <c r="K234" s="83">
        <v>1.8121323857637979</v>
      </c>
      <c r="L234" s="83">
        <v>75.138438921049328</v>
      </c>
    </row>
    <row r="235" spans="1:12">
      <c r="A235" t="s">
        <v>453</v>
      </c>
      <c r="B235">
        <v>10234</v>
      </c>
      <c r="C235" s="83">
        <v>923.69000000000028</v>
      </c>
      <c r="D235" s="83">
        <v>9.8917148729079738</v>
      </c>
      <c r="E235" s="83">
        <v>74.505775716533037</v>
      </c>
      <c r="F235">
        <v>7</v>
      </c>
      <c r="G235" s="83">
        <v>9.0745556059304153</v>
      </c>
      <c r="H235" s="83">
        <v>12.345654318300001</v>
      </c>
      <c r="I235" s="83">
        <v>627.01000000000045</v>
      </c>
      <c r="J235" s="83">
        <v>73.021584941705342</v>
      </c>
      <c r="K235" s="83">
        <v>4.273586116201824</v>
      </c>
      <c r="L235" s="83">
        <v>72.410457113119449</v>
      </c>
    </row>
    <row r="236" spans="1:12">
      <c r="A236" t="s">
        <v>454</v>
      </c>
      <c r="B236">
        <v>10235</v>
      </c>
      <c r="C236" s="83">
        <v>959.52000000000044</v>
      </c>
      <c r="D236" s="83">
        <v>13.071074331973316</v>
      </c>
      <c r="E236" s="83">
        <v>78.394637948260325</v>
      </c>
      <c r="F236">
        <v>7</v>
      </c>
      <c r="G236" s="83">
        <v>9.4506542990940741</v>
      </c>
      <c r="H236" s="83">
        <v>11.6823169803</v>
      </c>
      <c r="I236" s="83">
        <v>622.12000000000057</v>
      </c>
      <c r="J236" s="83">
        <v>1.7035923248139937</v>
      </c>
      <c r="K236" s="83">
        <v>2.7620344273238824</v>
      </c>
      <c r="L236" s="83">
        <v>78.830722984281209</v>
      </c>
    </row>
    <row r="237" spans="1:12">
      <c r="A237" t="s">
        <v>455</v>
      </c>
      <c r="B237">
        <v>10236</v>
      </c>
      <c r="C237" s="83">
        <v>1003.7400000000005</v>
      </c>
      <c r="D237" s="83">
        <v>22.169007636343633</v>
      </c>
      <c r="E237" s="83">
        <v>60.613072246842783</v>
      </c>
      <c r="F237">
        <v>7</v>
      </c>
      <c r="G237" s="83">
        <v>14.386498829225911</v>
      </c>
      <c r="H237" s="83">
        <v>11.664852671</v>
      </c>
      <c r="I237" s="83">
        <v>622.12000000000057</v>
      </c>
      <c r="J237" s="83">
        <v>1.9301738919083236</v>
      </c>
      <c r="K237" s="83">
        <v>3.9434474251482845</v>
      </c>
      <c r="L237" s="83">
        <v>60.914119497694855</v>
      </c>
    </row>
    <row r="238" spans="1:12">
      <c r="A238" t="s">
        <v>456</v>
      </c>
      <c r="B238">
        <v>10237</v>
      </c>
      <c r="C238" s="83">
        <v>905.27000000000021</v>
      </c>
      <c r="D238" s="83">
        <v>53.833367569505945</v>
      </c>
      <c r="E238" s="83">
        <v>62.28056292874917</v>
      </c>
      <c r="F238">
        <v>2</v>
      </c>
      <c r="G238" s="83">
        <v>12.474205511821319</v>
      </c>
      <c r="H238" s="83">
        <v>3.8794739174899999</v>
      </c>
      <c r="I238" s="83">
        <v>639.36000000000058</v>
      </c>
      <c r="J238" s="83">
        <v>3.3846789765045777</v>
      </c>
      <c r="K238" s="83">
        <v>7.990904903625581</v>
      </c>
      <c r="L238" s="83">
        <v>61.215467120641812</v>
      </c>
    </row>
    <row r="239" spans="1:12">
      <c r="A239" t="s">
        <v>457</v>
      </c>
      <c r="B239">
        <v>10238</v>
      </c>
      <c r="C239" s="83">
        <v>896.54000000000053</v>
      </c>
      <c r="D239" s="83">
        <v>56.224855335951986</v>
      </c>
      <c r="E239" s="83">
        <v>71.295708976488783</v>
      </c>
      <c r="F239">
        <v>2</v>
      </c>
      <c r="G239" s="83">
        <v>11.893679115918866</v>
      </c>
      <c r="H239" s="83">
        <v>5.9925357722499992</v>
      </c>
      <c r="I239" s="83">
        <v>636.03000000000054</v>
      </c>
      <c r="J239" s="83">
        <v>4.1731068854149296</v>
      </c>
      <c r="K239" s="83">
        <v>2.6501573549413826</v>
      </c>
      <c r="L239" s="83">
        <v>72.013342374621018</v>
      </c>
    </row>
    <row r="240" spans="1:12">
      <c r="A240" t="s">
        <v>458</v>
      </c>
      <c r="B240">
        <v>10239</v>
      </c>
      <c r="C240" s="83">
        <v>871.20000000000039</v>
      </c>
      <c r="D240" s="83">
        <v>43.117870929427163</v>
      </c>
      <c r="E240" s="83">
        <v>74.636184587761036</v>
      </c>
      <c r="F240">
        <v>2</v>
      </c>
      <c r="G240" s="83">
        <v>9.4098004963918314</v>
      </c>
      <c r="H240" s="83">
        <v>6.0421660986599992</v>
      </c>
      <c r="I240" s="83">
        <v>636.03000000000054</v>
      </c>
      <c r="J240" s="83">
        <v>3.1410329344445516</v>
      </c>
      <c r="K240" s="83">
        <v>5.8434002337360091</v>
      </c>
      <c r="L240" s="83">
        <v>66.85150007806044</v>
      </c>
    </row>
    <row r="241" spans="1:12">
      <c r="A241" t="s">
        <v>459</v>
      </c>
      <c r="B241">
        <v>10240</v>
      </c>
      <c r="C241" s="83">
        <v>856.94000000000028</v>
      </c>
      <c r="D241" s="83">
        <v>68.336393996305517</v>
      </c>
      <c r="E241" s="83">
        <v>68.888279021598308</v>
      </c>
      <c r="F241">
        <v>2</v>
      </c>
      <c r="G241" s="83">
        <v>12.434000173360371</v>
      </c>
      <c r="H241" s="83">
        <v>4.9220575594999998</v>
      </c>
      <c r="I241" s="83">
        <v>635.89000000000055</v>
      </c>
      <c r="J241" s="83">
        <v>4.7216906998065635</v>
      </c>
      <c r="K241" s="83">
        <v>3.836800153472006</v>
      </c>
      <c r="L241" s="83">
        <v>69.497000527875727</v>
      </c>
    </row>
    <row r="242" spans="1:12">
      <c r="A242" t="s">
        <v>460</v>
      </c>
      <c r="B242">
        <v>10241</v>
      </c>
      <c r="C242" s="83">
        <v>854.55000000000041</v>
      </c>
      <c r="D242" s="83">
        <v>72.734785471480194</v>
      </c>
      <c r="E242" s="83">
        <v>71.796191270756424</v>
      </c>
      <c r="F242">
        <v>2</v>
      </c>
      <c r="G242" s="83">
        <v>9.6737386176348661</v>
      </c>
      <c r="H242" s="83">
        <v>4.6419626973199994</v>
      </c>
      <c r="I242" s="83">
        <v>635.89000000000055</v>
      </c>
      <c r="J242" s="83">
        <v>2.7951977721733057</v>
      </c>
      <c r="K242" s="83">
        <v>6.0163545154168379</v>
      </c>
      <c r="L242" s="83">
        <v>68.953675740042414</v>
      </c>
    </row>
    <row r="243" spans="1:12">
      <c r="A243" t="s">
        <v>461</v>
      </c>
      <c r="B243">
        <v>10242</v>
      </c>
      <c r="C243" s="83">
        <v>854.69000000000028</v>
      </c>
      <c r="D243" s="83">
        <v>91.979164922996659</v>
      </c>
      <c r="E243" s="83">
        <v>69.604357605146504</v>
      </c>
      <c r="F243">
        <v>4</v>
      </c>
      <c r="G243" s="83">
        <v>10.777548180425521</v>
      </c>
      <c r="H243" s="83">
        <v>4.2311456429199996</v>
      </c>
      <c r="I243" s="83">
        <v>616.92000000000053</v>
      </c>
      <c r="J243" s="83">
        <v>6.1844997028094095</v>
      </c>
      <c r="K243" s="83">
        <v>2.6696324381777359</v>
      </c>
      <c r="L243" s="83">
        <v>71.049640607520686</v>
      </c>
    </row>
    <row r="244" spans="1:12">
      <c r="A244" t="s">
        <v>462</v>
      </c>
      <c r="B244">
        <v>10243</v>
      </c>
      <c r="C244" s="83">
        <v>888.31000000000017</v>
      </c>
      <c r="D244" s="83">
        <v>92.152782752604764</v>
      </c>
      <c r="E244" s="83">
        <v>71.446040991475144</v>
      </c>
      <c r="F244">
        <v>4</v>
      </c>
      <c r="G244" s="83">
        <v>9.458099402743839</v>
      </c>
      <c r="H244" s="83">
        <v>4.6353233386500001</v>
      </c>
      <c r="I244" s="83">
        <v>616.92000000000053</v>
      </c>
      <c r="J244" s="83">
        <v>12.21861904511001</v>
      </c>
      <c r="K244" s="83">
        <v>4.6177001385310046</v>
      </c>
      <c r="L244" s="83">
        <v>71.844800805341947</v>
      </c>
    </row>
    <row r="245" spans="1:12">
      <c r="A245" t="s">
        <v>463</v>
      </c>
      <c r="B245">
        <v>10244</v>
      </c>
      <c r="C245" s="83">
        <v>903.36000000000024</v>
      </c>
      <c r="D245" s="83">
        <v>74.03260940007597</v>
      </c>
      <c r="E245" s="83">
        <v>58.817907323066464</v>
      </c>
      <c r="F245">
        <v>4</v>
      </c>
      <c r="G245" s="83">
        <v>9.3812995400001711</v>
      </c>
      <c r="H245" s="83">
        <v>5.0159746846499997</v>
      </c>
      <c r="I245" s="83">
        <v>601.63000000000079</v>
      </c>
      <c r="J245" s="83">
        <v>31.004269196861173</v>
      </c>
      <c r="K245" s="83">
        <v>2.262</v>
      </c>
      <c r="L245" s="83">
        <v>60.29910180400001</v>
      </c>
    </row>
    <row r="246" spans="1:12">
      <c r="A246" t="s">
        <v>464</v>
      </c>
      <c r="B246">
        <v>10245</v>
      </c>
      <c r="C246" s="83">
        <v>876.21000000000038</v>
      </c>
      <c r="D246" s="83">
        <v>61.499279274258285</v>
      </c>
      <c r="E246" s="83">
        <v>78.145234589044804</v>
      </c>
      <c r="F246">
        <v>4</v>
      </c>
      <c r="G246" s="83">
        <v>8.0669998350104652</v>
      </c>
      <c r="H246" s="83">
        <v>5.7241645920599993</v>
      </c>
      <c r="I246" s="83">
        <v>601.63000000000079</v>
      </c>
      <c r="J246" s="83">
        <v>3.4537975216672714</v>
      </c>
      <c r="K246" s="83">
        <v>3.4642001039260033</v>
      </c>
      <c r="L246" s="83">
        <v>79.630399984911364</v>
      </c>
    </row>
    <row r="247" spans="1:12">
      <c r="A247" t="s">
        <v>465</v>
      </c>
      <c r="B247">
        <v>10246</v>
      </c>
      <c r="C247" s="83">
        <v>871.23000000000025</v>
      </c>
      <c r="D247" s="83">
        <v>89.688844474532601</v>
      </c>
      <c r="E247" s="83">
        <v>57.563558939720792</v>
      </c>
      <c r="F247">
        <v>4</v>
      </c>
      <c r="G247" s="83">
        <v>15.214709735284815</v>
      </c>
      <c r="H247" s="83">
        <v>5.1227249851499996</v>
      </c>
      <c r="I247" s="83">
        <v>593.67000000000098</v>
      </c>
      <c r="J247" s="83">
        <v>29.352914256829209</v>
      </c>
      <c r="K247" s="83">
        <v>4.1130642497457686</v>
      </c>
      <c r="L247" s="83">
        <v>57.920659500163971</v>
      </c>
    </row>
    <row r="248" spans="1:12">
      <c r="A248" t="s">
        <v>466</v>
      </c>
      <c r="B248">
        <v>10247</v>
      </c>
      <c r="C248" s="83">
        <v>855.34000000000015</v>
      </c>
      <c r="D248" s="83">
        <v>80.071885673165212</v>
      </c>
      <c r="E248" s="83">
        <v>69.182126842376675</v>
      </c>
      <c r="F248">
        <v>4</v>
      </c>
      <c r="G248" s="83">
        <v>7.7772000830881964</v>
      </c>
      <c r="H248" s="83">
        <v>5.9846709750299993</v>
      </c>
      <c r="I248" s="83">
        <v>593.67000000000098</v>
      </c>
      <c r="J248" s="83">
        <v>27.638173108677016</v>
      </c>
      <c r="K248" s="83">
        <v>3.9204001568160063</v>
      </c>
      <c r="L248" s="83">
        <v>70.662000916481986</v>
      </c>
    </row>
    <row r="249" spans="1:12">
      <c r="A249" t="s">
        <v>467</v>
      </c>
      <c r="B249">
        <v>10248</v>
      </c>
      <c r="C249" s="83">
        <v>846.75000000000068</v>
      </c>
      <c r="D249" s="83">
        <v>45.22911267053415</v>
      </c>
      <c r="E249" s="83">
        <v>55.695749317536063</v>
      </c>
      <c r="F249">
        <v>6</v>
      </c>
      <c r="G249" s="83">
        <v>7.4315999838739826</v>
      </c>
      <c r="H249" s="83">
        <v>7.3671381535099991</v>
      </c>
      <c r="I249" s="83">
        <v>595.30000000000086</v>
      </c>
      <c r="J249" s="83">
        <v>27.348523729667622</v>
      </c>
      <c r="K249" s="83">
        <v>5.3040001591200054</v>
      </c>
      <c r="L249" s="83">
        <v>55.689799749692014</v>
      </c>
    </row>
    <row r="250" spans="1:12">
      <c r="A250" t="s">
        <v>468</v>
      </c>
      <c r="B250">
        <v>10249</v>
      </c>
      <c r="C250" s="83">
        <v>847.45000000000016</v>
      </c>
      <c r="D250" s="83">
        <v>48.915402106621933</v>
      </c>
      <c r="E250" s="83">
        <v>60.547687143562953</v>
      </c>
      <c r="F250">
        <v>6</v>
      </c>
      <c r="G250" s="83">
        <v>12.770600181952069</v>
      </c>
      <c r="H250" s="83">
        <v>7.6683299095599997</v>
      </c>
      <c r="I250" s="83">
        <v>595.30000000000086</v>
      </c>
      <c r="J250" s="83">
        <v>27.650036532550704</v>
      </c>
      <c r="K250" s="83">
        <v>2.8775001151000046</v>
      </c>
      <c r="L250" s="83">
        <v>62.103898906154541</v>
      </c>
    </row>
    <row r="251" spans="1:12">
      <c r="A251" t="s">
        <v>469</v>
      </c>
      <c r="B251">
        <v>10250</v>
      </c>
      <c r="C251" s="83">
        <v>859.89000000000033</v>
      </c>
      <c r="D251" s="83">
        <v>45.490047304634494</v>
      </c>
      <c r="E251" s="83">
        <v>59.662834191408002</v>
      </c>
      <c r="F251">
        <v>6</v>
      </c>
      <c r="G251" s="83">
        <v>11.423500366764568</v>
      </c>
      <c r="H251" s="83">
        <v>7.9615153842599993</v>
      </c>
      <c r="I251" s="83">
        <v>599.72000000000071</v>
      </c>
      <c r="J251" s="83">
        <v>27.565288617467328</v>
      </c>
      <c r="K251" s="83">
        <v>3.8373999616260006</v>
      </c>
      <c r="L251" s="83">
        <v>62.066098770337163</v>
      </c>
    </row>
    <row r="252" spans="1:12">
      <c r="A252" t="s">
        <v>470</v>
      </c>
      <c r="B252">
        <v>10251</v>
      </c>
      <c r="C252" s="83">
        <v>889.81000000000063</v>
      </c>
      <c r="D252" s="83">
        <v>61.744457387616542</v>
      </c>
      <c r="E252" s="83">
        <v>52.451518572195667</v>
      </c>
      <c r="F252">
        <v>6</v>
      </c>
      <c r="G252" s="83">
        <v>12.194799759000194</v>
      </c>
      <c r="H252" s="83">
        <v>7.3148901553699996</v>
      </c>
      <c r="I252" s="83">
        <v>599.72000000000071</v>
      </c>
      <c r="J252" s="83">
        <v>27.554137268628921</v>
      </c>
      <c r="K252" s="83">
        <v>2.9279999999999999</v>
      </c>
      <c r="L252" s="83">
        <v>56.333598970999752</v>
      </c>
    </row>
    <row r="253" spans="1:12">
      <c r="A253" t="s">
        <v>471</v>
      </c>
      <c r="B253">
        <v>10252</v>
      </c>
      <c r="C253" s="83">
        <v>902.16000000000042</v>
      </c>
      <c r="D253" s="83">
        <v>75.771314037468684</v>
      </c>
      <c r="E253" s="83">
        <v>17.948400954370957</v>
      </c>
      <c r="F253">
        <v>6</v>
      </c>
      <c r="G253" s="83">
        <v>10.083000168489937</v>
      </c>
      <c r="H253" s="83">
        <v>5.2222450677399994</v>
      </c>
      <c r="I253" s="83">
        <v>600.36000000000047</v>
      </c>
      <c r="J253" s="83">
        <v>27.473922237354987</v>
      </c>
      <c r="K253" s="83">
        <v>6.0810001824300057</v>
      </c>
      <c r="L253" s="83">
        <v>21.409297494282519</v>
      </c>
    </row>
    <row r="254" spans="1:12">
      <c r="A254" t="s">
        <v>472</v>
      </c>
      <c r="B254">
        <v>10253</v>
      </c>
      <c r="C254" s="83">
        <v>870.6500000000002</v>
      </c>
      <c r="D254" s="83">
        <v>32.552079503918989</v>
      </c>
      <c r="E254" s="83">
        <v>53.565058196069486</v>
      </c>
      <c r="F254">
        <v>6</v>
      </c>
      <c r="G254" s="83">
        <v>10.069500212780451</v>
      </c>
      <c r="H254" s="83">
        <v>8.03651882548</v>
      </c>
      <c r="I254" s="83">
        <v>600.36000000000047</v>
      </c>
      <c r="J254" s="83">
        <v>28.587159543740508</v>
      </c>
      <c r="K254" s="83">
        <v>4.6404001856160075</v>
      </c>
      <c r="L254" s="83">
        <v>57.098501443935831</v>
      </c>
    </row>
    <row r="255" spans="1:12">
      <c r="A255" t="s">
        <v>473</v>
      </c>
      <c r="B255">
        <v>10254</v>
      </c>
      <c r="C255" s="83">
        <v>846.29000000000019</v>
      </c>
      <c r="D255" s="83">
        <v>53.140122117008595</v>
      </c>
      <c r="E255" s="83">
        <v>65.228278321513642</v>
      </c>
      <c r="F255">
        <v>6</v>
      </c>
      <c r="G255" s="83">
        <v>11.66820046531736</v>
      </c>
      <c r="H255" s="83">
        <v>8.3369996340999997</v>
      </c>
      <c r="I255" s="83">
        <v>602.4500000000005</v>
      </c>
      <c r="J255" s="83">
        <v>28.400031078623822</v>
      </c>
      <c r="K255" s="83">
        <v>4.0575999594240004</v>
      </c>
      <c r="L255" s="83">
        <v>68.105300274943417</v>
      </c>
    </row>
    <row r="256" spans="1:12">
      <c r="A256" t="s">
        <v>474</v>
      </c>
      <c r="B256">
        <v>10255</v>
      </c>
      <c r="C256" s="83">
        <v>859.39000000000033</v>
      </c>
      <c r="D256" s="83">
        <v>36.055129837996525</v>
      </c>
      <c r="E256" s="83">
        <v>62.644895988877281</v>
      </c>
      <c r="F256">
        <v>7</v>
      </c>
      <c r="G256" s="83">
        <v>20.066799557673651</v>
      </c>
      <c r="H256" s="83">
        <v>10.154344693000001</v>
      </c>
      <c r="I256" s="83">
        <v>602.4500000000005</v>
      </c>
      <c r="J256" s="83">
        <v>84.378942200624067</v>
      </c>
      <c r="K256" s="83">
        <v>1.7141000685640027</v>
      </c>
      <c r="L256" s="83">
        <v>66.591800776673296</v>
      </c>
    </row>
    <row r="257" spans="1:12">
      <c r="A257" t="s">
        <v>475</v>
      </c>
      <c r="B257">
        <v>10256</v>
      </c>
      <c r="C257" s="83">
        <v>891.70000000000016</v>
      </c>
      <c r="D257" s="83">
        <v>19.131605161022627</v>
      </c>
      <c r="E257" s="83">
        <v>55.583336571642022</v>
      </c>
      <c r="F257">
        <v>7</v>
      </c>
      <c r="G257" s="83">
        <v>12.127249746974137</v>
      </c>
      <c r="H257" s="83">
        <v>11.861598539400001</v>
      </c>
      <c r="I257" s="83">
        <v>622.45000000000073</v>
      </c>
      <c r="J257" s="83">
        <v>81.220412724845673</v>
      </c>
      <c r="K257" s="83">
        <v>2.632653138783021</v>
      </c>
      <c r="L257" s="83">
        <v>59.467692587252117</v>
      </c>
    </row>
    <row r="258" spans="1:12">
      <c r="A258" t="s">
        <v>476</v>
      </c>
      <c r="B258">
        <v>10257</v>
      </c>
      <c r="C258" s="83">
        <v>872.12000000000012</v>
      </c>
      <c r="D258" s="83">
        <v>6.5928751893504041</v>
      </c>
      <c r="E258" s="83">
        <v>52.242214804680735</v>
      </c>
      <c r="F258">
        <v>7</v>
      </c>
      <c r="G258" s="83">
        <v>21.452969149502152</v>
      </c>
      <c r="H258" s="83">
        <v>14.772264204300001</v>
      </c>
      <c r="I258" s="83">
        <v>622.45000000000073</v>
      </c>
      <c r="J258" s="83">
        <v>7.3570403670911002</v>
      </c>
      <c r="K258" s="83">
        <v>4.6285890357634507</v>
      </c>
      <c r="L258" s="83">
        <v>52.647755487331423</v>
      </c>
    </row>
    <row r="259" spans="1:12">
      <c r="A259" t="s">
        <v>477</v>
      </c>
      <c r="B259">
        <v>10258</v>
      </c>
      <c r="C259" s="83">
        <v>849.82999999999993</v>
      </c>
      <c r="D259" s="83">
        <v>8.321509491188209</v>
      </c>
      <c r="E259" s="83">
        <v>25.338875614837704</v>
      </c>
      <c r="F259">
        <v>7</v>
      </c>
      <c r="G259" s="83">
        <v>46.278923274526839</v>
      </c>
      <c r="H259" s="83">
        <v>13.427129409600001</v>
      </c>
      <c r="I259" s="83">
        <v>643.00000000000057</v>
      </c>
      <c r="J259" s="83">
        <v>2.2283241922074266</v>
      </c>
      <c r="K259" s="83">
        <v>4.1838548386373224</v>
      </c>
      <c r="L259" s="83">
        <v>29.2765154222901</v>
      </c>
    </row>
    <row r="260" spans="1:12">
      <c r="A260" t="s">
        <v>478</v>
      </c>
      <c r="B260">
        <v>10259</v>
      </c>
      <c r="C260" s="83">
        <v>846.61000000000035</v>
      </c>
      <c r="D260" s="83">
        <v>2.2264317210759521</v>
      </c>
      <c r="E260" s="83">
        <v>48.72669360353499</v>
      </c>
      <c r="F260">
        <v>7</v>
      </c>
      <c r="G260" s="83">
        <v>13.385908687375474</v>
      </c>
      <c r="H260" s="83">
        <v>15.102295248000001</v>
      </c>
      <c r="I260" s="83">
        <v>643.00000000000057</v>
      </c>
      <c r="J260" s="83">
        <v>1.2574383910771716</v>
      </c>
      <c r="K260" s="83">
        <v>7.3663406481828675</v>
      </c>
      <c r="L260" s="83">
        <v>49.784897882243904</v>
      </c>
    </row>
    <row r="261" spans="1:12">
      <c r="A261" t="s">
        <v>479</v>
      </c>
      <c r="B261">
        <v>10260</v>
      </c>
      <c r="C261" s="83">
        <v>854.97000000000048</v>
      </c>
      <c r="D261" s="83">
        <v>29.344375273860635</v>
      </c>
      <c r="E261" s="83">
        <v>41.228827724348264</v>
      </c>
      <c r="F261">
        <v>7</v>
      </c>
      <c r="G261" s="83">
        <v>10.517894042739755</v>
      </c>
      <c r="H261" s="83">
        <v>9.1851070734799993</v>
      </c>
      <c r="I261" s="83">
        <v>646.11000000000047</v>
      </c>
      <c r="J261" s="83">
        <v>1.8773595623518742</v>
      </c>
      <c r="K261" s="83">
        <v>7.1064242916284854</v>
      </c>
      <c r="L261" s="83">
        <v>45.799392486000521</v>
      </c>
    </row>
    <row r="262" spans="1:12">
      <c r="A262" t="s">
        <v>480</v>
      </c>
      <c r="B262">
        <v>10261</v>
      </c>
      <c r="C262" s="83">
        <v>849.52000000000044</v>
      </c>
      <c r="D262" s="83">
        <v>10.570014039341679</v>
      </c>
      <c r="E262" s="83">
        <v>74.749084640801058</v>
      </c>
      <c r="F262">
        <v>7</v>
      </c>
      <c r="G262" s="83">
        <v>9.5601189035709098</v>
      </c>
      <c r="H262" s="83">
        <v>11.396167033800001</v>
      </c>
      <c r="I262" s="83">
        <v>646.11000000000047</v>
      </c>
      <c r="J262" s="83">
        <v>2.6800754641355793</v>
      </c>
      <c r="K262" s="83">
        <v>4.92432462208905</v>
      </c>
      <c r="L262" s="83">
        <v>74.325715124686198</v>
      </c>
    </row>
    <row r="263" spans="1:12">
      <c r="A263" t="s">
        <v>481</v>
      </c>
      <c r="B263">
        <v>10262</v>
      </c>
      <c r="C263" s="83">
        <v>859.1400000000001</v>
      </c>
      <c r="D263" s="83">
        <v>6.5492442101346393</v>
      </c>
      <c r="E263" s="83">
        <v>67.729459752726356</v>
      </c>
      <c r="F263">
        <v>7</v>
      </c>
      <c r="G263" s="83">
        <v>4.9876323464791303</v>
      </c>
      <c r="H263" s="83">
        <v>12.450824022700001</v>
      </c>
      <c r="I263" s="83">
        <v>644.89000000000055</v>
      </c>
      <c r="J263" s="83">
        <v>2.6844128332169435</v>
      </c>
      <c r="K263" s="83">
        <v>5.0309334092071962</v>
      </c>
      <c r="L263" s="83">
        <v>74.666516655587955</v>
      </c>
    </row>
    <row r="264" spans="1:12">
      <c r="A264" t="s">
        <v>482</v>
      </c>
      <c r="B264">
        <v>10263</v>
      </c>
      <c r="C264" s="83">
        <v>847.25000000000023</v>
      </c>
      <c r="D264" s="83">
        <v>27.069607065977408</v>
      </c>
      <c r="E264" s="83">
        <v>69.794002895352122</v>
      </c>
      <c r="F264">
        <v>7</v>
      </c>
      <c r="G264" s="83">
        <v>15.928663379662428</v>
      </c>
      <c r="H264" s="83">
        <v>9.6337181522699993</v>
      </c>
      <c r="I264" s="83">
        <v>644.89000000000055</v>
      </c>
      <c r="J264" s="83">
        <v>8.7358525437173373</v>
      </c>
      <c r="K264" s="83">
        <v>2.659708555343947</v>
      </c>
      <c r="L264" s="83">
        <v>69.942860960805092</v>
      </c>
    </row>
    <row r="265" spans="1:12">
      <c r="A265" t="s">
        <v>483</v>
      </c>
      <c r="B265">
        <v>10264</v>
      </c>
      <c r="C265" s="83">
        <v>865.1600000000002</v>
      </c>
      <c r="D265" s="83">
        <v>8.7095727985972662</v>
      </c>
      <c r="E265" s="83">
        <v>76.374797752009556</v>
      </c>
      <c r="F265">
        <v>7</v>
      </c>
      <c r="G265" s="83">
        <v>8.7510935064876723</v>
      </c>
      <c r="H265" s="83">
        <v>12.0773429666</v>
      </c>
      <c r="I265" s="83">
        <v>643.18000000000052</v>
      </c>
      <c r="J265" s="83">
        <v>7.1578723156781248</v>
      </c>
      <c r="K265" s="83">
        <v>3.7514353659130864</v>
      </c>
      <c r="L265" s="83">
        <v>77.874453685415318</v>
      </c>
    </row>
    <row r="266" spans="1:12">
      <c r="A266" t="s">
        <v>484</v>
      </c>
      <c r="B266">
        <v>10265</v>
      </c>
      <c r="C266" s="83">
        <v>876.06000000000006</v>
      </c>
      <c r="D266" s="83">
        <v>21.748740960462722</v>
      </c>
      <c r="E266" s="83">
        <v>66.120881293802327</v>
      </c>
      <c r="F266">
        <v>7</v>
      </c>
      <c r="G266" s="83">
        <v>18.65744507772601</v>
      </c>
      <c r="H266" s="83">
        <v>11.674353395200001</v>
      </c>
      <c r="I266" s="83">
        <v>643.18000000000052</v>
      </c>
      <c r="J266" s="83">
        <v>9.9227918483396635</v>
      </c>
      <c r="K266" s="83">
        <v>3.6598101588051892</v>
      </c>
      <c r="L266" s="83">
        <v>65.398519181775612</v>
      </c>
    </row>
    <row r="267" spans="1:12">
      <c r="A267" t="s">
        <v>485</v>
      </c>
      <c r="B267">
        <v>10266</v>
      </c>
      <c r="C267" s="83">
        <v>869.11</v>
      </c>
      <c r="D267" s="83">
        <v>42.856789607886228</v>
      </c>
      <c r="E267" s="83">
        <v>77.532939743305633</v>
      </c>
      <c r="F267">
        <v>7</v>
      </c>
      <c r="G267" s="83">
        <v>8.1080506575488034</v>
      </c>
      <c r="H267" s="83">
        <v>9.8462609747399998</v>
      </c>
      <c r="I267" s="83">
        <v>638.78000000000065</v>
      </c>
      <c r="J267" s="83">
        <v>40.129588525589469</v>
      </c>
      <c r="K267" s="83">
        <v>2.2493360240047711</v>
      </c>
      <c r="L267" s="83">
        <v>75.420107714619405</v>
      </c>
    </row>
    <row r="268" spans="1:12">
      <c r="A268" t="s">
        <v>486</v>
      </c>
      <c r="B268">
        <v>10267</v>
      </c>
      <c r="C268" s="83">
        <v>913.61000000000024</v>
      </c>
      <c r="D268" s="83">
        <v>63.772772119375247</v>
      </c>
      <c r="E268" s="83">
        <v>16.406299926132167</v>
      </c>
      <c r="F268">
        <v>2</v>
      </c>
      <c r="G268" s="83">
        <v>34.8720925229985</v>
      </c>
      <c r="H268" s="83">
        <v>3.5963951139999999</v>
      </c>
      <c r="I268" s="83">
        <v>655.03000000000077</v>
      </c>
      <c r="J268" s="83">
        <v>0.12766809746958327</v>
      </c>
      <c r="K268" s="83">
        <v>5.6323329058360958</v>
      </c>
      <c r="L268" s="83">
        <v>15.861865288560667</v>
      </c>
    </row>
    <row r="269" spans="1:12">
      <c r="A269" t="s">
        <v>487</v>
      </c>
      <c r="B269">
        <v>10268</v>
      </c>
      <c r="C269" s="83">
        <v>914.30000000000041</v>
      </c>
      <c r="D269" s="83">
        <v>60.869137677960026</v>
      </c>
      <c r="E269" s="83">
        <v>55.199748349858005</v>
      </c>
      <c r="F269">
        <v>2</v>
      </c>
      <c r="G269" s="83">
        <v>10.414386760734464</v>
      </c>
      <c r="H269" s="83">
        <v>4.8506934909099995</v>
      </c>
      <c r="I269" s="83">
        <v>639.36000000000058</v>
      </c>
      <c r="J269" s="83">
        <v>2.0655521330297368</v>
      </c>
      <c r="K269" s="83">
        <v>11.495099193902526</v>
      </c>
      <c r="L269" s="83">
        <v>52.987055422676207</v>
      </c>
    </row>
    <row r="270" spans="1:12">
      <c r="A270" t="s">
        <v>488</v>
      </c>
      <c r="B270">
        <v>10269</v>
      </c>
      <c r="C270" s="83">
        <v>907.31000000000063</v>
      </c>
      <c r="D270" s="83">
        <v>37.914277988339897</v>
      </c>
      <c r="E270" s="83">
        <v>73.490566132075543</v>
      </c>
      <c r="F270">
        <v>2</v>
      </c>
      <c r="G270" s="83">
        <v>13.948197573928653</v>
      </c>
      <c r="H270" s="83">
        <v>7.1787178548099995</v>
      </c>
      <c r="I270" s="83">
        <v>639.36000000000058</v>
      </c>
      <c r="J270" s="83">
        <v>6.4100937247567682</v>
      </c>
      <c r="K270" s="83">
        <v>2.8514001140560046</v>
      </c>
      <c r="L270" s="83">
        <v>72.737302356489735</v>
      </c>
    </row>
    <row r="271" spans="1:12">
      <c r="A271" t="s">
        <v>489</v>
      </c>
      <c r="B271">
        <v>10270</v>
      </c>
      <c r="C271" s="83">
        <v>892.07</v>
      </c>
      <c r="D271" s="83">
        <v>64.098060064692532</v>
      </c>
      <c r="E271" s="83">
        <v>77.406781108519738</v>
      </c>
      <c r="F271">
        <v>2</v>
      </c>
      <c r="G271" s="83">
        <v>10.190400272095467</v>
      </c>
      <c r="H271" s="83">
        <v>5.8985458358699994</v>
      </c>
      <c r="I271" s="83">
        <v>636.03000000000054</v>
      </c>
      <c r="J271" s="83">
        <v>4.3317123363587253</v>
      </c>
      <c r="K271" s="83">
        <v>2.3861999761380002</v>
      </c>
      <c r="L271" s="83">
        <v>77.995499066046776</v>
      </c>
    </row>
    <row r="272" spans="1:12">
      <c r="A272" t="s">
        <v>490</v>
      </c>
      <c r="B272">
        <v>10271</v>
      </c>
      <c r="C272" s="83">
        <v>876.48000000000025</v>
      </c>
      <c r="D272" s="83">
        <v>67.300682282459519</v>
      </c>
      <c r="E272" s="83">
        <v>70.834744113696644</v>
      </c>
      <c r="F272">
        <v>2</v>
      </c>
      <c r="G272" s="83">
        <v>15.411999530480115</v>
      </c>
      <c r="H272" s="83">
        <v>5.0389889334299998</v>
      </c>
      <c r="I272" s="83">
        <v>636.03000000000054</v>
      </c>
      <c r="J272" s="83">
        <v>0.31146243473108182</v>
      </c>
      <c r="K272" s="83">
        <v>4.0712001628480063</v>
      </c>
      <c r="L272" s="83">
        <v>69.12819956313308</v>
      </c>
    </row>
    <row r="273" spans="1:12">
      <c r="A273" t="s">
        <v>491</v>
      </c>
      <c r="B273">
        <v>10272</v>
      </c>
      <c r="C273" s="83">
        <v>860.09000000000037</v>
      </c>
      <c r="D273" s="83">
        <v>65.724299116148828</v>
      </c>
      <c r="E273" s="83">
        <v>66.27033317370099</v>
      </c>
      <c r="F273">
        <v>2</v>
      </c>
      <c r="G273" s="83">
        <v>13.050200154007761</v>
      </c>
      <c r="H273" s="83">
        <v>5.9197500283999993</v>
      </c>
      <c r="I273" s="83">
        <v>635.89000000000055</v>
      </c>
      <c r="J273" s="83">
        <v>1.5329698081334968</v>
      </c>
      <c r="K273" s="83">
        <v>5.2961002118440081</v>
      </c>
      <c r="L273" s="83">
        <v>66.722800210912382</v>
      </c>
    </row>
    <row r="274" spans="1:12">
      <c r="A274" t="s">
        <v>492</v>
      </c>
      <c r="B274">
        <v>10273</v>
      </c>
      <c r="C274" s="83">
        <v>827.75000000000057</v>
      </c>
      <c r="D274" s="83">
        <v>65.059982432776451</v>
      </c>
      <c r="E274" s="83">
        <v>25.846304134547697</v>
      </c>
      <c r="F274">
        <v>2</v>
      </c>
      <c r="G274" s="83">
        <v>42.557006881573592</v>
      </c>
      <c r="H274" s="83">
        <v>5.8127080075499995</v>
      </c>
      <c r="I274" s="83">
        <v>635.89000000000055</v>
      </c>
      <c r="J274" s="83">
        <v>2.1808737616667329</v>
      </c>
      <c r="K274" s="83">
        <v>3.1387857516096509</v>
      </c>
      <c r="L274" s="83">
        <v>27.480357535611866</v>
      </c>
    </row>
    <row r="275" spans="1:12">
      <c r="A275" t="s">
        <v>493</v>
      </c>
      <c r="B275">
        <v>10274</v>
      </c>
      <c r="C275" s="83">
        <v>856.34000000000037</v>
      </c>
      <c r="D275" s="83">
        <v>67.276831042950832</v>
      </c>
      <c r="E275" s="83">
        <v>49.824703450940689</v>
      </c>
      <c r="F275">
        <v>4</v>
      </c>
      <c r="G275" s="83">
        <v>21.737900000433591</v>
      </c>
      <c r="H275" s="83">
        <v>5.5001010047599994</v>
      </c>
      <c r="I275" s="83">
        <v>616.92000000000053</v>
      </c>
      <c r="J275" s="83">
        <v>11.744539157155458</v>
      </c>
      <c r="K275" s="83">
        <v>2.9524000000000004</v>
      </c>
      <c r="L275" s="83">
        <v>50.384399403999879</v>
      </c>
    </row>
    <row r="276" spans="1:12">
      <c r="A276" t="s">
        <v>494</v>
      </c>
      <c r="B276">
        <v>10275</v>
      </c>
      <c r="C276" s="83">
        <v>883.59000000000037</v>
      </c>
      <c r="D276" s="83">
        <v>69.158222080919032</v>
      </c>
      <c r="E276" s="83">
        <v>55.547258691028645</v>
      </c>
      <c r="F276">
        <v>4</v>
      </c>
      <c r="G276" s="83">
        <v>12.353200986595231</v>
      </c>
      <c r="H276" s="83">
        <v>5.0995530542399994</v>
      </c>
      <c r="I276" s="83">
        <v>616.92000000000053</v>
      </c>
      <c r="J276" s="83">
        <v>16.378850680055859</v>
      </c>
      <c r="K276" s="83">
        <v>5.0988001529640048</v>
      </c>
      <c r="L276" s="83">
        <v>53.731398127947493</v>
      </c>
    </row>
    <row r="277" spans="1:12">
      <c r="A277" t="s">
        <v>495</v>
      </c>
      <c r="B277">
        <v>10276</v>
      </c>
      <c r="C277" s="83">
        <v>902.13000000000045</v>
      </c>
      <c r="D277" s="83">
        <v>74.223189064505078</v>
      </c>
      <c r="E277" s="83">
        <v>35.548190622808072</v>
      </c>
      <c r="F277">
        <v>4</v>
      </c>
      <c r="G277" s="83">
        <v>9.7924998579996867</v>
      </c>
      <c r="H277" s="83">
        <v>4.8059305654999998</v>
      </c>
      <c r="I277" s="83">
        <v>601.63000000000079</v>
      </c>
      <c r="J277" s="83">
        <v>47.028894579334576</v>
      </c>
      <c r="K277" s="83">
        <v>5.3573000000000004</v>
      </c>
      <c r="L277" s="83">
        <v>37.408699906005609</v>
      </c>
    </row>
    <row r="278" spans="1:12">
      <c r="A278" t="s">
        <v>496</v>
      </c>
      <c r="B278">
        <v>10277</v>
      </c>
      <c r="C278" s="83">
        <v>866.68000000000029</v>
      </c>
      <c r="D278" s="83">
        <v>92.270420967239986</v>
      </c>
      <c r="E278" s="83">
        <v>73.62583235700626</v>
      </c>
      <c r="F278">
        <v>4</v>
      </c>
      <c r="G278" s="83">
        <v>8.2694200023425477</v>
      </c>
      <c r="H278" s="83">
        <v>4.6331173422499994</v>
      </c>
      <c r="I278" s="83">
        <v>601.63000000000079</v>
      </c>
      <c r="J278" s="83">
        <v>31.246915964986705</v>
      </c>
      <c r="K278" s="83">
        <v>3.0978595715933936</v>
      </c>
      <c r="L278" s="83">
        <v>76.936611598743568</v>
      </c>
    </row>
    <row r="279" spans="1:12">
      <c r="A279" t="s">
        <v>497</v>
      </c>
      <c r="B279">
        <v>10278</v>
      </c>
      <c r="C279" s="83">
        <v>845.29000000000053</v>
      </c>
      <c r="D279" s="83">
        <v>92.325064147075508</v>
      </c>
      <c r="E279" s="83">
        <v>63.517521957655077</v>
      </c>
      <c r="F279">
        <v>4</v>
      </c>
      <c r="G279" s="83">
        <v>8.214394491109493</v>
      </c>
      <c r="H279" s="83">
        <v>5.2071859089199997</v>
      </c>
      <c r="I279" s="83">
        <v>593.67000000000098</v>
      </c>
      <c r="J279" s="83">
        <v>28.104566475359583</v>
      </c>
      <c r="K279" s="83">
        <v>4.9078530842061312</v>
      </c>
      <c r="L279" s="83">
        <v>63.8164359043096</v>
      </c>
    </row>
    <row r="280" spans="1:12">
      <c r="A280" t="s">
        <v>498</v>
      </c>
      <c r="B280">
        <v>10279</v>
      </c>
      <c r="C280" s="83">
        <v>815.37000000000035</v>
      </c>
      <c r="D280" s="83">
        <v>59.001723694182232</v>
      </c>
      <c r="E280" s="83">
        <v>71.372665440681715</v>
      </c>
      <c r="F280">
        <v>4</v>
      </c>
      <c r="G280" s="83">
        <v>9.3703002318116848</v>
      </c>
      <c r="H280" s="83">
        <v>7.4369101209099995</v>
      </c>
      <c r="I280" s="83">
        <v>593.67000000000098</v>
      </c>
      <c r="J280" s="83">
        <v>97.712280263778638</v>
      </c>
      <c r="K280" s="83">
        <v>5.5399002215960085</v>
      </c>
      <c r="L280" s="83">
        <v>70.524898841998663</v>
      </c>
    </row>
    <row r="281" spans="1:12">
      <c r="A281" t="s">
        <v>499</v>
      </c>
      <c r="B281">
        <v>10280</v>
      </c>
      <c r="C281" s="83">
        <v>796.91000000000054</v>
      </c>
      <c r="D281" s="83">
        <v>38.923017905808415</v>
      </c>
      <c r="E281" s="83">
        <v>60.69862907227278</v>
      </c>
      <c r="F281">
        <v>6</v>
      </c>
      <c r="G281" s="83">
        <v>10.721399673641832</v>
      </c>
      <c r="H281" s="83">
        <v>10.679150032900001</v>
      </c>
      <c r="I281" s="83">
        <v>595.30000000000086</v>
      </c>
      <c r="J281" s="83">
        <v>27.31367267484756</v>
      </c>
      <c r="K281" s="83">
        <v>5.9098001772940059</v>
      </c>
      <c r="L281" s="83">
        <v>61.64810072345098</v>
      </c>
    </row>
    <row r="282" spans="1:12">
      <c r="A282" t="s">
        <v>500</v>
      </c>
      <c r="B282">
        <v>10281</v>
      </c>
      <c r="C282" s="83">
        <v>807.66000000000042</v>
      </c>
      <c r="D282" s="83">
        <v>26.43392829439766</v>
      </c>
      <c r="E282" s="83">
        <v>57.889870307161509</v>
      </c>
      <c r="F282">
        <v>6</v>
      </c>
      <c r="G282" s="83">
        <v>9.1374999934999881</v>
      </c>
      <c r="H282" s="83">
        <v>11.320531962900001</v>
      </c>
      <c r="I282" s="83">
        <v>595.30000000000086</v>
      </c>
      <c r="J282" s="83">
        <v>27.214926627595581</v>
      </c>
      <c r="K282" s="83">
        <v>3.9219001568760063</v>
      </c>
      <c r="L282" s="83">
        <v>57.283901167352347</v>
      </c>
    </row>
    <row r="283" spans="1:12">
      <c r="A283" t="s">
        <v>501</v>
      </c>
      <c r="B283">
        <v>10282</v>
      </c>
      <c r="C283" s="83">
        <v>826.65000000000032</v>
      </c>
      <c r="D283" s="83">
        <v>27.353741233462696</v>
      </c>
      <c r="E283" s="83">
        <v>53.305375457530033</v>
      </c>
      <c r="F283">
        <v>6</v>
      </c>
      <c r="G283" s="83">
        <v>12.40579994994164</v>
      </c>
      <c r="H283" s="83">
        <v>10.150541667000001</v>
      </c>
      <c r="I283" s="83">
        <v>599.72000000000071</v>
      </c>
      <c r="J283" s="83">
        <v>93.946307956000837</v>
      </c>
      <c r="K283" s="83">
        <v>2.2954999770450004</v>
      </c>
      <c r="L283" s="83">
        <v>54.867000255331355</v>
      </c>
    </row>
    <row r="284" spans="1:12">
      <c r="A284" t="s">
        <v>502</v>
      </c>
      <c r="B284">
        <v>10283</v>
      </c>
      <c r="C284" s="83">
        <v>854.38000000000045</v>
      </c>
      <c r="D284" s="83">
        <v>27.836144477748181</v>
      </c>
      <c r="E284" s="83">
        <v>66.475942425140161</v>
      </c>
      <c r="F284">
        <v>6</v>
      </c>
      <c r="G284" s="83">
        <v>14.910199935999232</v>
      </c>
      <c r="H284" s="83">
        <v>10.046270825300001</v>
      </c>
      <c r="I284" s="83">
        <v>599.72000000000071</v>
      </c>
      <c r="J284" s="83">
        <v>97.099082068528233</v>
      </c>
      <c r="K284" s="83">
        <v>1.3117999999999999</v>
      </c>
      <c r="L284" s="83">
        <v>68.978499791004594</v>
      </c>
    </row>
    <row r="285" spans="1:12">
      <c r="A285" t="s">
        <v>503</v>
      </c>
      <c r="B285">
        <v>10284</v>
      </c>
      <c r="C285" s="83">
        <v>857.27000000000021</v>
      </c>
      <c r="D285" s="83">
        <v>31.890438729260197</v>
      </c>
      <c r="E285" s="83">
        <v>51.34019197515326</v>
      </c>
      <c r="F285">
        <v>6</v>
      </c>
      <c r="G285" s="83">
        <v>14.177099526312761</v>
      </c>
      <c r="H285" s="83">
        <v>9.4667468205799992</v>
      </c>
      <c r="I285" s="83">
        <v>600.36000000000047</v>
      </c>
      <c r="J285" s="83">
        <v>27.315498625211216</v>
      </c>
      <c r="K285" s="83">
        <v>2.9252000877560027</v>
      </c>
      <c r="L285" s="83">
        <v>52.941098769235417</v>
      </c>
    </row>
    <row r="286" spans="1:12">
      <c r="A286" t="s">
        <v>504</v>
      </c>
      <c r="B286">
        <v>10285</v>
      </c>
      <c r="C286" s="83">
        <v>840.68000000000029</v>
      </c>
      <c r="D286" s="83">
        <v>28.061840242646625</v>
      </c>
      <c r="E286" s="83">
        <v>55.594200742253726</v>
      </c>
      <c r="F286">
        <v>6</v>
      </c>
      <c r="G286" s="83">
        <v>10.239999373599993</v>
      </c>
      <c r="H286" s="83">
        <v>10.0862256364</v>
      </c>
      <c r="I286" s="83">
        <v>600.36000000000047</v>
      </c>
      <c r="J286" s="83">
        <v>92.010756663054039</v>
      </c>
      <c r="K286" s="83">
        <v>3.5462001418480056</v>
      </c>
      <c r="L286" s="83">
        <v>58.953301016131064</v>
      </c>
    </row>
    <row r="287" spans="1:12">
      <c r="A287" t="s">
        <v>505</v>
      </c>
      <c r="B287">
        <v>10286</v>
      </c>
      <c r="C287" s="83">
        <v>803.25000000000023</v>
      </c>
      <c r="D287" s="83">
        <v>25.470374054764012</v>
      </c>
      <c r="E287" s="83">
        <v>50.50960681688413</v>
      </c>
      <c r="F287">
        <v>7</v>
      </c>
      <c r="G287" s="83">
        <v>23.697894498788433</v>
      </c>
      <c r="H287" s="83">
        <v>11.019139025000001</v>
      </c>
      <c r="I287" s="83">
        <v>602.4500000000005</v>
      </c>
      <c r="J287" s="83">
        <v>91.977063035596231</v>
      </c>
      <c r="K287" s="83">
        <v>4.0777035430357698</v>
      </c>
      <c r="L287" s="83">
        <v>53.369446089484484</v>
      </c>
    </row>
    <row r="288" spans="1:12">
      <c r="A288" t="s">
        <v>506</v>
      </c>
      <c r="B288">
        <v>10287</v>
      </c>
      <c r="C288" s="83">
        <v>801.15000000000032</v>
      </c>
      <c r="D288" s="83">
        <v>2.1652198684860458</v>
      </c>
      <c r="E288" s="83">
        <v>62.872473736636046</v>
      </c>
      <c r="F288">
        <v>7</v>
      </c>
      <c r="G288" s="83">
        <v>18.895370965877316</v>
      </c>
      <c r="H288" s="83">
        <v>13.381445490300001</v>
      </c>
      <c r="I288" s="83">
        <v>602.4500000000005</v>
      </c>
      <c r="J288" s="83">
        <v>0.61068311649743734</v>
      </c>
      <c r="K288" s="83">
        <v>1.7030269418570707</v>
      </c>
      <c r="L288" s="83">
        <v>65.169654344579044</v>
      </c>
    </row>
    <row r="289" spans="1:12">
      <c r="A289" t="s">
        <v>507</v>
      </c>
      <c r="B289">
        <v>10288</v>
      </c>
      <c r="C289" s="83">
        <v>803.23000000000047</v>
      </c>
      <c r="D289" s="83">
        <v>1.1420472400002657</v>
      </c>
      <c r="E289" s="83">
        <v>67.490605506977232</v>
      </c>
      <c r="F289">
        <v>7</v>
      </c>
      <c r="G289" s="83">
        <v>9.6294395954872254</v>
      </c>
      <c r="H289" s="83">
        <v>15.039036118</v>
      </c>
      <c r="I289" s="83">
        <v>622.45000000000073</v>
      </c>
      <c r="J289" s="83">
        <v>0.42645525523565114</v>
      </c>
      <c r="K289" s="83">
        <v>0.65089174910928405</v>
      </c>
      <c r="L289" s="83">
        <v>70.817360506971809</v>
      </c>
    </row>
    <row r="290" spans="1:12">
      <c r="A290" t="s">
        <v>508</v>
      </c>
      <c r="B290">
        <v>10289</v>
      </c>
      <c r="C290" s="83">
        <v>817.9100000000002</v>
      </c>
      <c r="D290" s="83">
        <v>1.5661981996172967</v>
      </c>
      <c r="E290" s="83">
        <v>19.719484094165409</v>
      </c>
      <c r="F290">
        <v>7</v>
      </c>
      <c r="G290" s="83">
        <v>8.5663934644698472</v>
      </c>
      <c r="H290" s="83">
        <v>16.997432100099999</v>
      </c>
      <c r="I290" s="83">
        <v>622.45000000000073</v>
      </c>
      <c r="J290" s="83">
        <v>0</v>
      </c>
      <c r="K290" s="83">
        <v>2.1521034785529092</v>
      </c>
      <c r="L290" s="83">
        <v>19.027601573579716</v>
      </c>
    </row>
    <row r="291" spans="1:12">
      <c r="A291" t="s">
        <v>509</v>
      </c>
      <c r="B291">
        <v>10290</v>
      </c>
      <c r="C291" s="83">
        <v>803.85000000000025</v>
      </c>
      <c r="D291" s="83">
        <v>7.3694703337199421</v>
      </c>
      <c r="E291" s="83">
        <v>66.367130003472766</v>
      </c>
      <c r="F291">
        <v>7</v>
      </c>
      <c r="G291" s="83">
        <v>14.165059554527556</v>
      </c>
      <c r="H291" s="83">
        <v>12.746814053</v>
      </c>
      <c r="I291" s="83">
        <v>643.00000000000057</v>
      </c>
      <c r="J291" s="83">
        <v>87.839122852016487</v>
      </c>
      <c r="K291" s="83">
        <v>2.969186917078007</v>
      </c>
      <c r="L291" s="83">
        <v>70.095703048659615</v>
      </c>
    </row>
    <row r="292" spans="1:12">
      <c r="A292" t="s">
        <v>510</v>
      </c>
      <c r="B292">
        <v>10291</v>
      </c>
      <c r="C292" s="83">
        <v>804.06000000000017</v>
      </c>
      <c r="D292" s="83">
        <v>5.9426898995462762</v>
      </c>
      <c r="E292" s="83">
        <v>71.4409126944348</v>
      </c>
      <c r="F292">
        <v>7</v>
      </c>
      <c r="G292" s="83">
        <v>14.117076900477736</v>
      </c>
      <c r="H292" s="83">
        <v>12.099362131400001</v>
      </c>
      <c r="I292" s="83">
        <v>643.00000000000057</v>
      </c>
      <c r="J292" s="83">
        <v>84.522286103522333</v>
      </c>
      <c r="K292" s="83">
        <v>2.3601280961552908</v>
      </c>
      <c r="L292" s="83">
        <v>72.969696400430294</v>
      </c>
    </row>
    <row r="293" spans="1:12">
      <c r="A293" t="s">
        <v>511</v>
      </c>
      <c r="B293">
        <v>10292</v>
      </c>
      <c r="C293" s="83">
        <v>815.71000000000038</v>
      </c>
      <c r="D293" s="83">
        <v>40.316154504558568</v>
      </c>
      <c r="E293" s="83">
        <v>64.077578886853445</v>
      </c>
      <c r="F293">
        <v>7</v>
      </c>
      <c r="G293" s="83">
        <v>8.2303961839223501</v>
      </c>
      <c r="H293" s="83">
        <v>9.4147928506599996</v>
      </c>
      <c r="I293" s="83">
        <v>646.11000000000047</v>
      </c>
      <c r="J293" s="83">
        <v>83.302565522242574</v>
      </c>
      <c r="K293" s="83">
        <v>5.0888741305324672</v>
      </c>
      <c r="L293" s="83">
        <v>62.405982790914315</v>
      </c>
    </row>
    <row r="294" spans="1:12">
      <c r="A294" t="s">
        <v>512</v>
      </c>
      <c r="B294">
        <v>10293</v>
      </c>
      <c r="C294" s="83">
        <v>816.63000000000034</v>
      </c>
      <c r="D294" s="83">
        <v>27.977818981907063</v>
      </c>
      <c r="E294" s="83">
        <v>65.378187169013628</v>
      </c>
      <c r="F294">
        <v>7</v>
      </c>
      <c r="G294" s="83">
        <v>18.735874711396754</v>
      </c>
      <c r="H294" s="83">
        <v>10.0557813003</v>
      </c>
      <c r="I294" s="83">
        <v>646.11000000000047</v>
      </c>
      <c r="J294" s="83">
        <v>93.599608492538593</v>
      </c>
      <c r="K294" s="83">
        <v>4.0188284354035435</v>
      </c>
      <c r="L294" s="83">
        <v>67.395199790369574</v>
      </c>
    </row>
    <row r="295" spans="1:12">
      <c r="A295" t="s">
        <v>513</v>
      </c>
      <c r="B295">
        <v>10294</v>
      </c>
      <c r="C295" s="83">
        <v>837.55000000000075</v>
      </c>
      <c r="D295" s="83">
        <v>0.99301320839198248</v>
      </c>
      <c r="E295" s="83">
        <v>74.167049849787702</v>
      </c>
      <c r="F295">
        <v>7</v>
      </c>
      <c r="G295" s="83">
        <v>7.9944434572332916</v>
      </c>
      <c r="H295" s="83">
        <v>13.2972808694</v>
      </c>
      <c r="I295" s="83">
        <v>644.89000000000055</v>
      </c>
      <c r="J295" s="83">
        <v>0</v>
      </c>
      <c r="K295" s="83">
        <v>1.2260392070296671</v>
      </c>
      <c r="L295" s="83">
        <v>73.580821474082569</v>
      </c>
    </row>
    <row r="296" spans="1:12">
      <c r="A296" t="s">
        <v>514</v>
      </c>
      <c r="B296">
        <v>10295</v>
      </c>
      <c r="C296" s="83">
        <v>841.32000000000028</v>
      </c>
      <c r="D296" s="83">
        <v>8.9610967083389212</v>
      </c>
      <c r="E296" s="83">
        <v>66.446045507240328</v>
      </c>
      <c r="F296">
        <v>7</v>
      </c>
      <c r="G296" s="83">
        <v>13.515675327688871</v>
      </c>
      <c r="H296" s="83">
        <v>11.818412225800001</v>
      </c>
      <c r="I296" s="83">
        <v>643.18000000000052</v>
      </c>
      <c r="J296" s="83">
        <v>4.3681757964492398</v>
      </c>
      <c r="K296" s="83">
        <v>3.2544097867569817</v>
      </c>
      <c r="L296" s="83">
        <v>67.842087493145144</v>
      </c>
    </row>
    <row r="297" spans="1:12">
      <c r="A297" t="s">
        <v>515</v>
      </c>
      <c r="B297">
        <v>10296</v>
      </c>
      <c r="C297" s="83">
        <v>851.2700000000001</v>
      </c>
      <c r="D297" s="83">
        <v>6.2361107323267566</v>
      </c>
      <c r="E297" s="83">
        <v>49.897053359550625</v>
      </c>
      <c r="F297">
        <v>7</v>
      </c>
      <c r="G297" s="83">
        <v>25.996863236665732</v>
      </c>
      <c r="H297" s="83">
        <v>12.254696553600001</v>
      </c>
      <c r="I297" s="83">
        <v>643.18000000000052</v>
      </c>
      <c r="J297" s="83">
        <v>2.6812544567835466</v>
      </c>
      <c r="K297" s="83">
        <v>2.9318386568763204</v>
      </c>
      <c r="L297" s="83">
        <v>51.851715179620619</v>
      </c>
    </row>
    <row r="298" spans="1:12">
      <c r="A298" t="s">
        <v>516</v>
      </c>
      <c r="B298">
        <v>10297</v>
      </c>
      <c r="C298" s="83">
        <v>918.34000000000037</v>
      </c>
      <c r="D298" s="83">
        <v>87.82976591364303</v>
      </c>
      <c r="E298" s="83">
        <v>41.947337034168079</v>
      </c>
      <c r="F298">
        <v>2</v>
      </c>
      <c r="G298" s="83">
        <v>10.989013740757716</v>
      </c>
      <c r="H298" s="83">
        <v>3.4116329782399997</v>
      </c>
      <c r="I298" s="83">
        <v>655.66000000000076</v>
      </c>
      <c r="J298" s="83">
        <v>0.12766809746958327</v>
      </c>
      <c r="K298" s="83">
        <v>4.729809158915204</v>
      </c>
      <c r="L298" s="83">
        <v>44.31418734851934</v>
      </c>
    </row>
    <row r="299" spans="1:12">
      <c r="A299" t="s">
        <v>517</v>
      </c>
      <c r="B299">
        <v>10298</v>
      </c>
      <c r="C299" s="83">
        <v>923.1400000000001</v>
      </c>
      <c r="D299" s="83">
        <v>51.317577026265923</v>
      </c>
      <c r="E299" s="83">
        <v>69.979401394272188</v>
      </c>
      <c r="F299">
        <v>2</v>
      </c>
      <c r="G299" s="83">
        <v>9.1022006267800801</v>
      </c>
      <c r="H299" s="83">
        <v>4.9114134188199996</v>
      </c>
      <c r="I299" s="83">
        <v>636.57000000000039</v>
      </c>
      <c r="J299" s="83">
        <v>1.544827933311508</v>
      </c>
      <c r="K299" s="83">
        <v>4.9882995011700499</v>
      </c>
      <c r="L299" s="83">
        <v>67.933699518625474</v>
      </c>
    </row>
    <row r="300" spans="1:12">
      <c r="A300" t="s">
        <v>518</v>
      </c>
      <c r="B300">
        <v>10299</v>
      </c>
      <c r="C300" s="83">
        <v>923.99000000000035</v>
      </c>
      <c r="D300" s="83">
        <v>44.032926332263216</v>
      </c>
      <c r="E300" s="83">
        <v>69.618468525988391</v>
      </c>
      <c r="F300">
        <v>2</v>
      </c>
      <c r="G300" s="83">
        <v>13.683301688835119</v>
      </c>
      <c r="H300" s="83">
        <v>5.0762490737499997</v>
      </c>
      <c r="I300" s="83">
        <v>636.57000000000039</v>
      </c>
      <c r="J300" s="83">
        <v>16.950807555194302</v>
      </c>
      <c r="K300" s="83">
        <v>3.3536998323150082</v>
      </c>
      <c r="L300" s="83">
        <v>67.32499887274578</v>
      </c>
    </row>
    <row r="301" spans="1:12">
      <c r="A301" t="s">
        <v>519</v>
      </c>
      <c r="B301">
        <v>10300</v>
      </c>
      <c r="C301" s="83">
        <v>905.74000000000035</v>
      </c>
      <c r="D301" s="83">
        <v>72.314335497611097</v>
      </c>
      <c r="E301" s="83">
        <v>77.486699320925624</v>
      </c>
      <c r="F301">
        <v>2</v>
      </c>
      <c r="G301" s="83">
        <v>8.4447999935198848</v>
      </c>
      <c r="H301" s="83">
        <v>4.6253342055399997</v>
      </c>
      <c r="I301" s="83">
        <v>634.88000000000068</v>
      </c>
      <c r="J301" s="83">
        <v>16.794752876721216</v>
      </c>
      <c r="K301" s="83">
        <v>2.4649997535000248</v>
      </c>
      <c r="L301" s="83">
        <v>75.944800040517165</v>
      </c>
    </row>
    <row r="302" spans="1:12">
      <c r="A302" t="s">
        <v>520</v>
      </c>
      <c r="B302">
        <v>10301</v>
      </c>
      <c r="C302" s="83">
        <v>878.11</v>
      </c>
      <c r="D302" s="83">
        <v>77.067294204310897</v>
      </c>
      <c r="E302" s="83">
        <v>77.239186684151335</v>
      </c>
      <c r="F302">
        <v>2</v>
      </c>
      <c r="G302" s="83">
        <v>8.9238002418112163</v>
      </c>
      <c r="H302" s="83">
        <v>4.2066869263399997</v>
      </c>
      <c r="I302" s="83">
        <v>634.88000000000068</v>
      </c>
      <c r="J302" s="83">
        <v>15.868313904373515</v>
      </c>
      <c r="K302" s="83">
        <v>2.8392998580350071</v>
      </c>
      <c r="L302" s="83">
        <v>74.030500297473935</v>
      </c>
    </row>
    <row r="303" spans="1:12">
      <c r="A303" t="s">
        <v>521</v>
      </c>
      <c r="B303">
        <v>10302</v>
      </c>
      <c r="C303" s="83">
        <v>848.76000000000022</v>
      </c>
      <c r="D303" s="83">
        <v>76.22270424346317</v>
      </c>
      <c r="E303" s="83">
        <v>63.855951919788112</v>
      </c>
      <c r="F303">
        <v>2</v>
      </c>
      <c r="G303" s="83">
        <v>11.777699917115671</v>
      </c>
      <c r="H303" s="83">
        <v>4.2000535837199999</v>
      </c>
      <c r="I303" s="83">
        <v>634.54000000000065</v>
      </c>
      <c r="J303" s="83">
        <v>1.112719282442884</v>
      </c>
      <c r="K303" s="83">
        <v>3.8855998057200094</v>
      </c>
      <c r="L303" s="83">
        <v>63.317499243120778</v>
      </c>
    </row>
    <row r="304" spans="1:12">
      <c r="A304" t="s">
        <v>522</v>
      </c>
      <c r="B304">
        <v>10303</v>
      </c>
      <c r="C304" s="83">
        <v>828.07</v>
      </c>
      <c r="D304" s="83">
        <v>29.189296479486572</v>
      </c>
      <c r="E304" s="83">
        <v>61.610262042124553</v>
      </c>
      <c r="F304">
        <v>2</v>
      </c>
      <c r="G304" s="83">
        <v>18.441079474364923</v>
      </c>
      <c r="H304" s="83">
        <v>8.7742650847099988</v>
      </c>
      <c r="I304" s="83">
        <v>634.54000000000065</v>
      </c>
      <c r="J304" s="83">
        <v>2.0720228690097175</v>
      </c>
      <c r="K304" s="83">
        <v>5.6710364899834511</v>
      </c>
      <c r="L304" s="83">
        <v>63.21349767726241</v>
      </c>
    </row>
    <row r="305" spans="1:12">
      <c r="A305" t="s">
        <v>523</v>
      </c>
      <c r="B305">
        <v>10304</v>
      </c>
      <c r="C305" s="83">
        <v>840.25000000000034</v>
      </c>
      <c r="D305" s="83">
        <v>37.200800448874944</v>
      </c>
      <c r="E305" s="83">
        <v>76.524538120902619</v>
      </c>
      <c r="F305">
        <v>4</v>
      </c>
      <c r="G305" s="83">
        <v>11.628316337410887</v>
      </c>
      <c r="H305" s="83">
        <v>7.9011503274699999</v>
      </c>
      <c r="I305" s="83">
        <v>626.4800000000007</v>
      </c>
      <c r="J305" s="83">
        <v>22.023948489719913</v>
      </c>
      <c r="K305" s="83">
        <v>1.0578316598494872</v>
      </c>
      <c r="L305" s="83">
        <v>78.248312626641081</v>
      </c>
    </row>
    <row r="306" spans="1:12">
      <c r="A306" t="s">
        <v>524</v>
      </c>
      <c r="B306">
        <v>10305</v>
      </c>
      <c r="C306" s="83">
        <v>849.38000000000034</v>
      </c>
      <c r="D306" s="83">
        <v>28.5200779155542</v>
      </c>
      <c r="E306" s="83">
        <v>79.244966768475692</v>
      </c>
      <c r="F306">
        <v>4</v>
      </c>
      <c r="G306" s="83">
        <v>7.9820998400744871</v>
      </c>
      <c r="H306" s="83">
        <v>7.4582838294699991</v>
      </c>
      <c r="I306" s="83">
        <v>626.4800000000007</v>
      </c>
      <c r="J306" s="83">
        <v>40.24224753584916</v>
      </c>
      <c r="K306" s="83">
        <v>2.2428998654260082</v>
      </c>
      <c r="L306" s="83">
        <v>78.818200185905454</v>
      </c>
    </row>
    <row r="307" spans="1:12">
      <c r="A307" t="s">
        <v>525</v>
      </c>
      <c r="B307">
        <v>10306</v>
      </c>
      <c r="C307" s="83">
        <v>829.89000000000055</v>
      </c>
      <c r="D307" s="83">
        <v>50.589045866620907</v>
      </c>
      <c r="E307" s="83">
        <v>52.025282207542432</v>
      </c>
      <c r="F307">
        <v>4</v>
      </c>
      <c r="G307" s="83">
        <v>9.1270003055704017</v>
      </c>
      <c r="H307" s="83">
        <v>5.3041980395499992</v>
      </c>
      <c r="I307" s="83">
        <v>614.270000000001</v>
      </c>
      <c r="J307" s="83">
        <v>26.604575346690908</v>
      </c>
      <c r="K307" s="83">
        <v>3.3989996940900276</v>
      </c>
      <c r="L307" s="83">
        <v>57.675700062187538</v>
      </c>
    </row>
    <row r="308" spans="1:12">
      <c r="A308" t="s">
        <v>526</v>
      </c>
      <c r="B308">
        <v>10307</v>
      </c>
      <c r="C308" s="83">
        <v>794.40000000000032</v>
      </c>
      <c r="D308" s="83">
        <v>93.334855557259402</v>
      </c>
      <c r="E308" s="83">
        <v>41.96046808360051</v>
      </c>
      <c r="F308">
        <v>4</v>
      </c>
      <c r="G308" s="83">
        <v>13.044673451703634</v>
      </c>
      <c r="H308" s="83">
        <v>3.9368594422099998</v>
      </c>
      <c r="I308" s="83">
        <v>614.270000000001</v>
      </c>
      <c r="J308" s="83">
        <v>17.807331957487335</v>
      </c>
      <c r="K308" s="83">
        <v>3.7545656625054544</v>
      </c>
      <c r="L308" s="83">
        <v>48.956713746019297</v>
      </c>
    </row>
    <row r="309" spans="1:12">
      <c r="A309" t="s">
        <v>527</v>
      </c>
      <c r="B309">
        <v>10308</v>
      </c>
      <c r="C309" s="83">
        <v>821.52000000000044</v>
      </c>
      <c r="D309" s="83">
        <v>80.099644260166613</v>
      </c>
      <c r="E309" s="83">
        <v>60.854865649638583</v>
      </c>
      <c r="F309">
        <v>4</v>
      </c>
      <c r="G309" s="83">
        <v>7.7312373898761928</v>
      </c>
      <c r="H309" s="83">
        <v>5.3563409392499999</v>
      </c>
      <c r="I309" s="83">
        <v>602.22000000000094</v>
      </c>
      <c r="J309" s="83">
        <v>95.379659188692827</v>
      </c>
      <c r="K309" s="83">
        <v>2.3987377013201634</v>
      </c>
      <c r="L309" s="83">
        <v>62.268612139208003</v>
      </c>
    </row>
    <row r="310" spans="1:12">
      <c r="A310" t="s">
        <v>528</v>
      </c>
      <c r="B310">
        <v>10309</v>
      </c>
      <c r="C310" s="83">
        <v>799.75000000000057</v>
      </c>
      <c r="D310" s="83">
        <v>37.900364361861698</v>
      </c>
      <c r="E310" s="83">
        <v>75.861408736685803</v>
      </c>
      <c r="F310">
        <v>4</v>
      </c>
      <c r="G310" s="83">
        <v>12.860399862980367</v>
      </c>
      <c r="H310" s="83">
        <v>8.5309328345099988</v>
      </c>
      <c r="I310" s="83">
        <v>602.22000000000094</v>
      </c>
      <c r="J310" s="83">
        <v>97.621082069029939</v>
      </c>
      <c r="K310" s="83">
        <v>1.4045999297700034</v>
      </c>
      <c r="L310" s="83">
        <v>76.952901094355511</v>
      </c>
    </row>
    <row r="311" spans="1:12">
      <c r="A311" t="s">
        <v>529</v>
      </c>
      <c r="B311">
        <v>10310</v>
      </c>
      <c r="C311" s="83">
        <v>755.25</v>
      </c>
      <c r="D311" s="83">
        <v>41.899214948131636</v>
      </c>
      <c r="E311" s="83">
        <v>44.523381460450942</v>
      </c>
      <c r="F311">
        <v>6</v>
      </c>
      <c r="G311" s="83">
        <v>30.022134445605253</v>
      </c>
      <c r="H311" s="83">
        <v>8.8495848749799997</v>
      </c>
      <c r="I311" s="83">
        <v>603.4800000000007</v>
      </c>
      <c r="J311" s="83">
        <v>92.259589264045999</v>
      </c>
      <c r="K311" s="83">
        <v>5.2613653300648018</v>
      </c>
      <c r="L311" s="83">
        <v>47.256793620192198</v>
      </c>
    </row>
    <row r="312" spans="1:12">
      <c r="A312" t="s">
        <v>530</v>
      </c>
      <c r="B312">
        <v>10311</v>
      </c>
      <c r="C312" s="83">
        <v>773.77000000000044</v>
      </c>
      <c r="D312" s="83">
        <v>19.326182613267846</v>
      </c>
      <c r="E312" s="83">
        <v>69.445342436743076</v>
      </c>
      <c r="F312">
        <v>6</v>
      </c>
      <c r="G312" s="83">
        <v>13.046799675660248</v>
      </c>
      <c r="H312" s="83">
        <v>14.613824040800001</v>
      </c>
      <c r="I312" s="83">
        <v>603.4800000000007</v>
      </c>
      <c r="J312" s="83">
        <v>91.260518659782804</v>
      </c>
      <c r="K312" s="83">
        <v>2.2276998886150055</v>
      </c>
      <c r="L312" s="83">
        <v>71.079698664013009</v>
      </c>
    </row>
    <row r="313" spans="1:12">
      <c r="A313" t="s">
        <v>531</v>
      </c>
      <c r="B313">
        <v>10312</v>
      </c>
      <c r="C313" s="83">
        <v>786.89000000000021</v>
      </c>
      <c r="D313" s="83">
        <v>20.483526114965869</v>
      </c>
      <c r="E313" s="83">
        <v>59.442598021282748</v>
      </c>
      <c r="F313">
        <v>6</v>
      </c>
      <c r="G313" s="83">
        <v>15.70809955619</v>
      </c>
      <c r="H313" s="83">
        <v>9.9251796254000002</v>
      </c>
      <c r="I313" s="83">
        <v>608.17000000000064</v>
      </c>
      <c r="J313" s="83">
        <v>89.531848034430979</v>
      </c>
      <c r="K313" s="83">
        <v>2.7559997244000276</v>
      </c>
      <c r="L313" s="83">
        <v>62.621900751807559</v>
      </c>
    </row>
    <row r="314" spans="1:12">
      <c r="A314" t="s">
        <v>532</v>
      </c>
      <c r="B314">
        <v>10313</v>
      </c>
      <c r="C314" s="83">
        <v>795.20000000000039</v>
      </c>
      <c r="D314" s="83">
        <v>22.564960898347206</v>
      </c>
      <c r="E314" s="83">
        <v>47.50277713385411</v>
      </c>
      <c r="F314">
        <v>6</v>
      </c>
      <c r="G314" s="83">
        <v>24.117099455463435</v>
      </c>
      <c r="H314" s="83">
        <v>10.703667602400001</v>
      </c>
      <c r="I314" s="83">
        <v>608.17000000000064</v>
      </c>
      <c r="J314" s="83">
        <v>82.694287573683212</v>
      </c>
      <c r="K314" s="83">
        <v>3.6026996757570289</v>
      </c>
      <c r="L314" s="83">
        <v>50.672601547464545</v>
      </c>
    </row>
    <row r="315" spans="1:12">
      <c r="A315" t="s">
        <v>533</v>
      </c>
      <c r="B315">
        <v>10314</v>
      </c>
      <c r="C315" s="83">
        <v>798.42000000000041</v>
      </c>
      <c r="D315" s="83">
        <v>26.781760755762178</v>
      </c>
      <c r="E315" s="83">
        <v>52.38598307479662</v>
      </c>
      <c r="F315">
        <v>7</v>
      </c>
      <c r="G315" s="83">
        <v>22.214900058107339</v>
      </c>
      <c r="H315" s="83">
        <v>10.9187318858</v>
      </c>
      <c r="I315" s="83">
        <v>621.47000000000048</v>
      </c>
      <c r="J315" s="83">
        <v>82.124520741082677</v>
      </c>
      <c r="K315" s="83">
        <v>1.5503999069760057</v>
      </c>
      <c r="L315" s="83">
        <v>55.077399538355905</v>
      </c>
    </row>
    <row r="316" spans="1:12">
      <c r="A316" t="s">
        <v>534</v>
      </c>
      <c r="B316">
        <v>10315</v>
      </c>
      <c r="C316" s="83">
        <v>801.69000000000017</v>
      </c>
      <c r="D316" s="83">
        <v>18.71976960911185</v>
      </c>
      <c r="E316" s="83">
        <v>70.582478853393084</v>
      </c>
      <c r="F316">
        <v>7</v>
      </c>
      <c r="G316" s="83">
        <v>8.0375005531258701</v>
      </c>
      <c r="H316" s="83">
        <v>11.6119087724</v>
      </c>
      <c r="I316" s="83">
        <v>621.47000000000048</v>
      </c>
      <c r="J316" s="83">
        <v>84.586896441642835</v>
      </c>
      <c r="K316" s="83">
        <v>2.368999881550006</v>
      </c>
      <c r="L316" s="83">
        <v>72.079098372040946</v>
      </c>
    </row>
    <row r="317" spans="1:12">
      <c r="A317" t="s">
        <v>535</v>
      </c>
      <c r="B317">
        <v>10316</v>
      </c>
      <c r="C317" s="83">
        <v>775.13000000000011</v>
      </c>
      <c r="D317" s="83">
        <v>23.328102362515551</v>
      </c>
      <c r="E317" s="83">
        <v>68.072462752165762</v>
      </c>
      <c r="F317">
        <v>7</v>
      </c>
      <c r="G317" s="83">
        <v>8.7328710184901901</v>
      </c>
      <c r="H317" s="83">
        <v>10.2073407718</v>
      </c>
      <c r="I317" s="83">
        <v>636.09000000000071</v>
      </c>
      <c r="J317" s="83">
        <v>84.934857842364124</v>
      </c>
      <c r="K317" s="83">
        <v>3.1822609818154413</v>
      </c>
      <c r="L317" s="83">
        <v>67.443087531209656</v>
      </c>
    </row>
    <row r="318" spans="1:12">
      <c r="A318" t="s">
        <v>536</v>
      </c>
      <c r="B318">
        <v>10317</v>
      </c>
      <c r="C318" s="83">
        <v>768.43000000000018</v>
      </c>
      <c r="D318" s="83">
        <v>7.9790710170443813</v>
      </c>
      <c r="E318" s="83">
        <v>67.52955567864305</v>
      </c>
      <c r="F318">
        <v>7</v>
      </c>
      <c r="G318" s="83">
        <v>13.520629701378436</v>
      </c>
      <c r="H318" s="83">
        <v>14.301012393100001</v>
      </c>
      <c r="I318" s="83">
        <v>636.09000000000071</v>
      </c>
      <c r="J318" s="83">
        <v>87.896068604801044</v>
      </c>
      <c r="K318" s="83">
        <v>3.3525963442492426</v>
      </c>
      <c r="L318" s="83">
        <v>69.578698280743083</v>
      </c>
    </row>
    <row r="319" spans="1:12">
      <c r="A319" t="s">
        <v>537</v>
      </c>
      <c r="B319">
        <v>10318</v>
      </c>
      <c r="C319" s="83">
        <v>766.34</v>
      </c>
      <c r="D319" s="83">
        <v>5.694003880594062</v>
      </c>
      <c r="E319" s="83">
        <v>48.803535595038056</v>
      </c>
      <c r="F319">
        <v>7</v>
      </c>
      <c r="G319" s="83">
        <v>16.99814791166002</v>
      </c>
      <c r="H319" s="83">
        <v>13.159329956700001</v>
      </c>
      <c r="I319" s="83">
        <v>650.56000000000063</v>
      </c>
      <c r="J319" s="83">
        <v>1.2250681792425289</v>
      </c>
      <c r="K319" s="83">
        <v>4.1768096931283774</v>
      </c>
      <c r="L319" s="83">
        <v>49.907829632796371</v>
      </c>
    </row>
    <row r="320" spans="1:12">
      <c r="A320" t="s">
        <v>538</v>
      </c>
      <c r="B320">
        <v>10319</v>
      </c>
      <c r="C320" s="83">
        <v>741.94000000000028</v>
      </c>
      <c r="D320" s="83">
        <v>50.236346001418987</v>
      </c>
      <c r="E320" s="83">
        <v>63.100885198546848</v>
      </c>
      <c r="F320">
        <v>7</v>
      </c>
      <c r="G320" s="83">
        <v>15.830876751943759</v>
      </c>
      <c r="H320" s="83">
        <v>7.5772159232099998</v>
      </c>
      <c r="I320" s="83">
        <v>645.59000000000083</v>
      </c>
      <c r="J320" s="83">
        <v>86.757096473032206</v>
      </c>
      <c r="K320" s="83">
        <v>3.6619052713112805</v>
      </c>
      <c r="L320" s="83">
        <v>66.79419554317964</v>
      </c>
    </row>
    <row r="321" spans="1:12">
      <c r="A321" t="s">
        <v>539</v>
      </c>
      <c r="B321">
        <v>10320</v>
      </c>
      <c r="C321" s="83">
        <v>778.84000000000049</v>
      </c>
      <c r="D321" s="83">
        <v>35.28504850879424</v>
      </c>
      <c r="E321" s="83">
        <v>67.290493433946168</v>
      </c>
      <c r="F321">
        <v>7</v>
      </c>
      <c r="G321" s="83">
        <v>12.299000210100241</v>
      </c>
      <c r="H321" s="83">
        <v>9.4933657417599999</v>
      </c>
      <c r="I321" s="83">
        <v>645.59000000000083</v>
      </c>
      <c r="J321" s="83">
        <v>69.105065591582957</v>
      </c>
      <c r="K321" s="83">
        <v>2.2508997749100224</v>
      </c>
      <c r="L321" s="83">
        <v>70.080699179925659</v>
      </c>
    </row>
    <row r="322" spans="1:12">
      <c r="A322" t="s">
        <v>540</v>
      </c>
      <c r="B322">
        <v>10321</v>
      </c>
      <c r="C322" s="83">
        <v>783.52000000000032</v>
      </c>
      <c r="D322" s="83">
        <v>21.94208257729527</v>
      </c>
      <c r="E322" s="83">
        <v>63.860606236908026</v>
      </c>
      <c r="F322">
        <v>7</v>
      </c>
      <c r="G322" s="83">
        <v>11.441199721941413</v>
      </c>
      <c r="H322" s="83">
        <v>11.718066173</v>
      </c>
      <c r="I322" s="83">
        <v>648.56000000000074</v>
      </c>
      <c r="J322" s="83">
        <v>69.014707887538364</v>
      </c>
      <c r="K322" s="83">
        <v>3.0399998480000074</v>
      </c>
      <c r="L322" s="83">
        <v>66.158600335071114</v>
      </c>
    </row>
    <row r="323" spans="1:12">
      <c r="A323" t="s">
        <v>541</v>
      </c>
      <c r="B323">
        <v>10322</v>
      </c>
      <c r="C323" s="83">
        <v>797.24000000000035</v>
      </c>
      <c r="D323" s="83">
        <v>26.498845544428807</v>
      </c>
      <c r="E323" s="83">
        <v>73.727826505917463</v>
      </c>
      <c r="F323">
        <v>7</v>
      </c>
      <c r="G323" s="83">
        <v>9.8225000737506623</v>
      </c>
      <c r="H323" s="83">
        <v>10.7160704437</v>
      </c>
      <c r="I323" s="83">
        <v>648.56000000000074</v>
      </c>
      <c r="J323" s="83">
        <v>73.120367971797734</v>
      </c>
      <c r="K323" s="83">
        <v>2.2270997772900225</v>
      </c>
      <c r="L323" s="83">
        <v>76.139300077068143</v>
      </c>
    </row>
    <row r="324" spans="1:12">
      <c r="A324" t="s">
        <v>542</v>
      </c>
      <c r="B324">
        <v>10323</v>
      </c>
      <c r="C324" s="83">
        <v>778.86000000000035</v>
      </c>
      <c r="D324" s="83">
        <v>70.563083566684014</v>
      </c>
      <c r="E324" s="83">
        <v>65.803470193588439</v>
      </c>
      <c r="F324">
        <v>7</v>
      </c>
      <c r="G324" s="83">
        <v>9.2745490514268507</v>
      </c>
      <c r="H324" s="83">
        <v>7.3409720591999994</v>
      </c>
      <c r="I324" s="83">
        <v>647.3300000000005</v>
      </c>
      <c r="J324" s="83">
        <v>73.186373793050052</v>
      </c>
      <c r="K324" s="83">
        <v>9.0409195086007887</v>
      </c>
      <c r="L324" s="83">
        <v>61.643051305645599</v>
      </c>
    </row>
    <row r="325" spans="1:12">
      <c r="A325" t="s">
        <v>543</v>
      </c>
      <c r="B325">
        <v>10324</v>
      </c>
      <c r="C325" s="83">
        <v>751.90000000000032</v>
      </c>
      <c r="D325" s="83">
        <v>50.755601343019265</v>
      </c>
      <c r="E325" s="83">
        <v>63.47569228721288</v>
      </c>
      <c r="F325">
        <v>7</v>
      </c>
      <c r="G325" s="83">
        <v>7.8587140799276654</v>
      </c>
      <c r="H325" s="83">
        <v>8.1093713767499995</v>
      </c>
      <c r="I325" s="83">
        <v>647.3300000000005</v>
      </c>
      <c r="J325" s="83">
        <v>86.843220953939877</v>
      </c>
      <c r="K325" s="83">
        <v>3.1819615545064162</v>
      </c>
      <c r="L325" s="83">
        <v>69.474572754239176</v>
      </c>
    </row>
    <row r="326" spans="1:12">
      <c r="A326" t="s">
        <v>544</v>
      </c>
      <c r="B326">
        <v>10325</v>
      </c>
      <c r="C326" s="83">
        <v>809.47000000000014</v>
      </c>
      <c r="D326" s="83">
        <v>5.2577880042983987</v>
      </c>
      <c r="E326" s="83">
        <v>62.011504216613758</v>
      </c>
      <c r="F326">
        <v>7</v>
      </c>
      <c r="G326" s="83">
        <v>13.301485595433721</v>
      </c>
      <c r="H326" s="83">
        <v>12.1039694812</v>
      </c>
      <c r="I326" s="83">
        <v>645.5800000000005</v>
      </c>
      <c r="J326" s="83">
        <v>0.83543331436816504</v>
      </c>
      <c r="K326" s="83">
        <v>1.835578422723354</v>
      </c>
      <c r="L326" s="83">
        <v>63.816566477083391</v>
      </c>
    </row>
    <row r="327" spans="1:12">
      <c r="A327" t="s">
        <v>545</v>
      </c>
      <c r="B327">
        <v>10326</v>
      </c>
      <c r="C327" s="83">
        <v>805.95000000000039</v>
      </c>
      <c r="D327" s="83">
        <v>1.9984091384885574</v>
      </c>
      <c r="E327" s="83">
        <v>80.873307511193531</v>
      </c>
      <c r="F327">
        <v>7</v>
      </c>
      <c r="G327" s="83">
        <v>10.624029060919574</v>
      </c>
      <c r="H327" s="83">
        <v>13.388814480600001</v>
      </c>
      <c r="I327" s="83">
        <v>645.5800000000005</v>
      </c>
      <c r="J327" s="83">
        <v>0.8930492461015106</v>
      </c>
      <c r="K327" s="83">
        <v>1.0217547926900232</v>
      </c>
      <c r="L327" s="83">
        <v>82.098792246853321</v>
      </c>
    </row>
    <row r="328" spans="1:12">
      <c r="A328" t="s">
        <v>546</v>
      </c>
      <c r="B328">
        <v>10327</v>
      </c>
      <c r="C328" s="83">
        <v>904.16000000000008</v>
      </c>
      <c r="D328" s="83">
        <v>80.14750002816244</v>
      </c>
      <c r="E328" s="83">
        <v>44.371158763541423</v>
      </c>
      <c r="F328">
        <v>2</v>
      </c>
      <c r="G328" s="83">
        <v>8.1136078646370517</v>
      </c>
      <c r="H328" s="83">
        <v>3.8590565746699999</v>
      </c>
      <c r="I328" s="83">
        <v>655.66000000000076</v>
      </c>
      <c r="J328" s="83">
        <v>0.20893224832481955</v>
      </c>
      <c r="K328" s="83">
        <v>5.1434960211974206</v>
      </c>
      <c r="L328" s="83">
        <v>46.517222603845489</v>
      </c>
    </row>
    <row r="329" spans="1:12">
      <c r="A329" t="s">
        <v>547</v>
      </c>
      <c r="B329">
        <v>10328</v>
      </c>
      <c r="C329" s="83">
        <v>928.84000000000049</v>
      </c>
      <c r="D329" s="83">
        <v>65.626506706185751</v>
      </c>
      <c r="E329" s="83">
        <v>59.977871716788435</v>
      </c>
      <c r="F329">
        <v>2</v>
      </c>
      <c r="G329" s="83">
        <v>11.853899951460546</v>
      </c>
      <c r="H329" s="83">
        <v>4.1792269088199996</v>
      </c>
      <c r="I329" s="83">
        <v>636.57000000000039</v>
      </c>
      <c r="J329" s="83">
        <v>1.6435710588091093</v>
      </c>
      <c r="K329" s="83">
        <v>7.4953999250460006</v>
      </c>
      <c r="L329" s="83">
        <v>60.220099875791846</v>
      </c>
    </row>
    <row r="330" spans="1:12">
      <c r="A330" t="s">
        <v>548</v>
      </c>
      <c r="B330">
        <v>10329</v>
      </c>
      <c r="C330" s="83">
        <v>939.59000000000037</v>
      </c>
      <c r="D330" s="83">
        <v>65.211858314900269</v>
      </c>
      <c r="E330" s="83">
        <v>67.917629981634803</v>
      </c>
      <c r="F330">
        <v>2</v>
      </c>
      <c r="G330" s="83">
        <v>7.840600008624147</v>
      </c>
      <c r="H330" s="83">
        <v>4.9019632128800001</v>
      </c>
      <c r="I330" s="83">
        <v>636.57000000000039</v>
      </c>
      <c r="J330" s="83">
        <v>16.584814932242434</v>
      </c>
      <c r="K330" s="83">
        <v>4.3011001720440065</v>
      </c>
      <c r="L330" s="83">
        <v>66.484800756388509</v>
      </c>
    </row>
    <row r="331" spans="1:12">
      <c r="A331" t="s">
        <v>549</v>
      </c>
      <c r="B331">
        <v>10330</v>
      </c>
      <c r="C331" s="83">
        <v>919.93000000000029</v>
      </c>
      <c r="D331" s="83">
        <v>75.59184950305152</v>
      </c>
      <c r="E331" s="83">
        <v>71.982611663024528</v>
      </c>
      <c r="F331">
        <v>2</v>
      </c>
      <c r="G331" s="83">
        <v>8.4676000293234885</v>
      </c>
      <c r="H331" s="83">
        <v>5.7718515858199995</v>
      </c>
      <c r="I331" s="83">
        <v>634.88000000000068</v>
      </c>
      <c r="J331" s="83">
        <v>16.541163964389423</v>
      </c>
      <c r="K331" s="83">
        <v>4.8985999510139999</v>
      </c>
      <c r="L331" s="83">
        <v>71.04489910154976</v>
      </c>
    </row>
    <row r="332" spans="1:12">
      <c r="A332" t="s">
        <v>550</v>
      </c>
      <c r="B332">
        <v>10331</v>
      </c>
      <c r="C332" s="83">
        <v>882.86000000000035</v>
      </c>
      <c r="D332" s="83">
        <v>87.681604158984058</v>
      </c>
      <c r="E332" s="83">
        <v>57.921561220179761</v>
      </c>
      <c r="F332">
        <v>2</v>
      </c>
      <c r="G332" s="83">
        <v>9.4964000728550761</v>
      </c>
      <c r="H332" s="83">
        <v>4.28310529094</v>
      </c>
      <c r="I332" s="83">
        <v>634.88000000000068</v>
      </c>
      <c r="J332" s="83">
        <v>16.584923402332468</v>
      </c>
      <c r="K332" s="83">
        <v>3.8847001553880061</v>
      </c>
      <c r="L332" s="83">
        <v>59.425299580014823</v>
      </c>
    </row>
    <row r="333" spans="1:12">
      <c r="A333" t="s">
        <v>551</v>
      </c>
      <c r="B333">
        <v>10332</v>
      </c>
      <c r="C333" s="83">
        <v>851.76000000000022</v>
      </c>
      <c r="D333" s="83">
        <v>75.022421572863024</v>
      </c>
      <c r="E333" s="83">
        <v>67.703632793315464</v>
      </c>
      <c r="F333">
        <v>2</v>
      </c>
      <c r="G333" s="83">
        <v>10.80079989103174</v>
      </c>
      <c r="H333" s="83">
        <v>4.6956800015199995</v>
      </c>
      <c r="I333" s="83">
        <v>634.54000000000065</v>
      </c>
      <c r="J333" s="83">
        <v>1.111611197416728</v>
      </c>
      <c r="K333" s="83">
        <v>2.5876001035040042</v>
      </c>
      <c r="L333" s="83">
        <v>70.117300661688361</v>
      </c>
    </row>
    <row r="334" spans="1:12">
      <c r="A334" t="s">
        <v>552</v>
      </c>
      <c r="B334">
        <v>10333</v>
      </c>
      <c r="C334" s="83">
        <v>829.96000000000026</v>
      </c>
      <c r="D334" s="83">
        <v>51.704711045784805</v>
      </c>
      <c r="E334" s="83">
        <v>73.178673093283123</v>
      </c>
      <c r="F334">
        <v>2</v>
      </c>
      <c r="G334" s="83">
        <v>8.722910008167597</v>
      </c>
      <c r="H334" s="83">
        <v>5.2442458793399993</v>
      </c>
      <c r="I334" s="83">
        <v>634.54000000000065</v>
      </c>
      <c r="J334" s="83">
        <v>1.7263944596042136</v>
      </c>
      <c r="K334" s="83">
        <v>2.4682073677978917</v>
      </c>
      <c r="L334" s="83">
        <v>75.910904237327543</v>
      </c>
    </row>
    <row r="335" spans="1:12">
      <c r="A335" t="s">
        <v>553</v>
      </c>
      <c r="B335">
        <v>10334</v>
      </c>
      <c r="C335" s="83">
        <v>819.35000000000036</v>
      </c>
      <c r="D335" s="83">
        <v>70.756621356717403</v>
      </c>
      <c r="E335" s="83">
        <v>52.396993290241682</v>
      </c>
      <c r="F335">
        <v>4</v>
      </c>
      <c r="G335" s="83">
        <v>11.868127239684997</v>
      </c>
      <c r="H335" s="83">
        <v>3.5783555406399996</v>
      </c>
      <c r="I335" s="83">
        <v>626.4800000000007</v>
      </c>
      <c r="J335" s="83">
        <v>0.57420607226263431</v>
      </c>
      <c r="K335" s="83">
        <v>18.323871342964214</v>
      </c>
      <c r="L335" s="83">
        <v>53.35505646063293</v>
      </c>
    </row>
    <row r="336" spans="1:12">
      <c r="A336" t="s">
        <v>554</v>
      </c>
      <c r="B336">
        <v>10335</v>
      </c>
      <c r="C336" s="83">
        <v>805.38000000000011</v>
      </c>
      <c r="D336" s="83">
        <v>15.140459532715123</v>
      </c>
      <c r="E336" s="83">
        <v>36.268917532878326</v>
      </c>
      <c r="F336">
        <v>4</v>
      </c>
      <c r="G336" s="83">
        <v>2.9310401068223486</v>
      </c>
      <c r="H336" s="83">
        <v>5.5924689262299996</v>
      </c>
      <c r="I336" s="83">
        <v>626.4800000000007</v>
      </c>
      <c r="J336" s="83">
        <v>16.112041386962943</v>
      </c>
      <c r="K336" s="83">
        <v>51.601727734269723</v>
      </c>
      <c r="L336" s="83">
        <v>27.695952000114204</v>
      </c>
    </row>
    <row r="337" spans="1:12">
      <c r="A337" t="s">
        <v>555</v>
      </c>
      <c r="B337">
        <v>10336</v>
      </c>
      <c r="C337" s="83">
        <v>762.60000000000025</v>
      </c>
      <c r="D337" s="83">
        <v>44.555089543386302</v>
      </c>
      <c r="E337" s="83">
        <v>56.377493363254978</v>
      </c>
      <c r="F337">
        <v>4</v>
      </c>
      <c r="G337" s="83">
        <v>10.165289376631028</v>
      </c>
      <c r="H337" s="83">
        <v>5.87968522173</v>
      </c>
      <c r="I337" s="83">
        <v>614.270000000001</v>
      </c>
      <c r="J337" s="83">
        <v>17.688892450716455</v>
      </c>
      <c r="K337" s="83">
        <v>31.468235775411213</v>
      </c>
      <c r="L337" s="83">
        <v>57.211069760358903</v>
      </c>
    </row>
    <row r="338" spans="1:12">
      <c r="A338" t="s">
        <v>556</v>
      </c>
      <c r="B338">
        <v>10337</v>
      </c>
      <c r="C338" s="83">
        <v>740.32000000000039</v>
      </c>
      <c r="D338" s="83">
        <v>68.992733904072566</v>
      </c>
      <c r="E338" s="83">
        <v>62.726928585853699</v>
      </c>
      <c r="F338">
        <v>4</v>
      </c>
      <c r="G338" s="83">
        <v>6.702729089829651</v>
      </c>
      <c r="H338" s="83">
        <v>5.4312598572499997</v>
      </c>
      <c r="I338" s="83">
        <v>614.270000000001</v>
      </c>
      <c r="J338" s="83">
        <v>92.209701806638662</v>
      </c>
      <c r="K338" s="83">
        <v>4.8753262847959036</v>
      </c>
      <c r="L338" s="83">
        <v>61.603352025146705</v>
      </c>
    </row>
    <row r="339" spans="1:12">
      <c r="A339" t="s">
        <v>557</v>
      </c>
      <c r="B339">
        <v>10338</v>
      </c>
      <c r="C339" s="83">
        <v>769.47000000000048</v>
      </c>
      <c r="D339" s="83">
        <v>48.185478869889131</v>
      </c>
      <c r="E339" s="83">
        <v>78.557258457276404</v>
      </c>
      <c r="F339">
        <v>4</v>
      </c>
      <c r="G339" s="83">
        <v>7.8386902467621535</v>
      </c>
      <c r="H339" s="83">
        <v>7.4377483233899992</v>
      </c>
      <c r="I339" s="83">
        <v>602.22000000000094</v>
      </c>
      <c r="J339" s="83">
        <v>93.686277602572602</v>
      </c>
      <c r="K339" s="83">
        <v>2.9187257505241009</v>
      </c>
      <c r="L339" s="83">
        <v>79.583742981479361</v>
      </c>
    </row>
    <row r="340" spans="1:12">
      <c r="A340" t="s">
        <v>558</v>
      </c>
      <c r="B340">
        <v>10339</v>
      </c>
      <c r="C340" s="83">
        <v>774.70000000000061</v>
      </c>
      <c r="D340" s="83">
        <v>24.290994534414398</v>
      </c>
      <c r="E340" s="83">
        <v>72.7036779360879</v>
      </c>
      <c r="F340">
        <v>4</v>
      </c>
      <c r="G340" s="83">
        <v>6.7782041867483809</v>
      </c>
      <c r="H340" s="83">
        <v>8.7199319006099998</v>
      </c>
      <c r="I340" s="83">
        <v>602.22000000000094</v>
      </c>
      <c r="J340" s="83">
        <v>96.567002328816102</v>
      </c>
      <c r="K340" s="83">
        <v>15.418078785014483</v>
      </c>
      <c r="L340" s="83">
        <v>75.121472757352109</v>
      </c>
    </row>
    <row r="341" spans="1:12">
      <c r="A341" t="s">
        <v>559</v>
      </c>
      <c r="B341">
        <v>10340</v>
      </c>
      <c r="C341" s="83">
        <v>762.52000000000032</v>
      </c>
      <c r="D341" s="83">
        <v>50.660892650599948</v>
      </c>
      <c r="E341" s="83">
        <v>72.788426374634966</v>
      </c>
      <c r="F341">
        <v>6</v>
      </c>
      <c r="G341" s="83">
        <v>9.3891434513192618</v>
      </c>
      <c r="H341" s="83">
        <v>7.7579788021499994</v>
      </c>
      <c r="I341" s="83">
        <v>603.4800000000007</v>
      </c>
      <c r="J341" s="83">
        <v>94.256578087258205</v>
      </c>
      <c r="K341" s="83">
        <v>6.450264248722176</v>
      </c>
      <c r="L341" s="83">
        <v>74.084514233431904</v>
      </c>
    </row>
    <row r="342" spans="1:12">
      <c r="A342" t="s">
        <v>560</v>
      </c>
      <c r="B342">
        <v>10341</v>
      </c>
      <c r="C342" s="83">
        <v>764.66000000000065</v>
      </c>
      <c r="D342" s="83">
        <v>55.429700899135497</v>
      </c>
      <c r="E342" s="83">
        <v>74.768876384738022</v>
      </c>
      <c r="F342">
        <v>6</v>
      </c>
      <c r="G342" s="83">
        <v>8.2785999501441605</v>
      </c>
      <c r="H342" s="83">
        <v>8.4527341901900002</v>
      </c>
      <c r="I342" s="83">
        <v>603.4800000000007</v>
      </c>
      <c r="J342" s="83">
        <v>91.585457892894411</v>
      </c>
      <c r="K342" s="83">
        <v>1.6614000664560025</v>
      </c>
      <c r="L342" s="83">
        <v>77.721400059852712</v>
      </c>
    </row>
    <row r="343" spans="1:12">
      <c r="A343" t="s">
        <v>561</v>
      </c>
      <c r="B343">
        <v>10342</v>
      </c>
      <c r="C343" s="83">
        <v>757.1700000000003</v>
      </c>
      <c r="D343" s="83">
        <v>9.5180995908328079</v>
      </c>
      <c r="E343" s="83">
        <v>62.113109162401351</v>
      </c>
      <c r="F343">
        <v>7</v>
      </c>
      <c r="G343" s="83">
        <v>19.472516297617517</v>
      </c>
      <c r="H343" s="83">
        <v>11.5615619763</v>
      </c>
      <c r="I343" s="83">
        <v>608.17000000000064</v>
      </c>
      <c r="J343" s="83">
        <v>87.660735350339863</v>
      </c>
      <c r="K343" s="83">
        <v>0.96935198292718883</v>
      </c>
      <c r="L343" s="83">
        <v>64.659279240854005</v>
      </c>
    </row>
    <row r="344" spans="1:12">
      <c r="A344" t="s">
        <v>562</v>
      </c>
      <c r="B344">
        <v>10343</v>
      </c>
      <c r="C344" s="83">
        <v>756.52000000000021</v>
      </c>
      <c r="D344" s="83">
        <v>15.937558229579281</v>
      </c>
      <c r="E344" s="83">
        <v>7.3138029496478874</v>
      </c>
      <c r="F344">
        <v>7</v>
      </c>
      <c r="G344" s="83">
        <v>67.507340257793828</v>
      </c>
      <c r="H344" s="83">
        <v>12.4872829195</v>
      </c>
      <c r="I344" s="83">
        <v>608.17000000000064</v>
      </c>
      <c r="J344" s="83">
        <v>0.43820079482173685</v>
      </c>
      <c r="K344" s="83">
        <v>1.467569580866428</v>
      </c>
      <c r="L344" s="83">
        <v>8.7103158870750477</v>
      </c>
    </row>
    <row r="345" spans="1:12">
      <c r="A345" t="s">
        <v>563</v>
      </c>
      <c r="B345">
        <v>10344</v>
      </c>
      <c r="C345" s="83">
        <v>771.98000000000013</v>
      </c>
      <c r="D345" s="83">
        <v>22.344297215501737</v>
      </c>
      <c r="E345" s="83">
        <v>44.664738641726061</v>
      </c>
      <c r="F345">
        <v>7</v>
      </c>
      <c r="G345" s="83">
        <v>28.53783069094484</v>
      </c>
      <c r="H345" s="83">
        <v>10.8516049269</v>
      </c>
      <c r="I345" s="83">
        <v>621.47000000000048</v>
      </c>
      <c r="J345" s="83">
        <v>5.7779737985603843</v>
      </c>
      <c r="K345" s="83">
        <v>1.7117505777631941</v>
      </c>
      <c r="L345" s="83">
        <v>47.866395031379938</v>
      </c>
    </row>
    <row r="346" spans="1:12">
      <c r="A346" t="s">
        <v>564</v>
      </c>
      <c r="B346">
        <v>10345</v>
      </c>
      <c r="C346" s="83">
        <v>752.53000000000031</v>
      </c>
      <c r="D346" s="83">
        <v>12.772442653365932</v>
      </c>
      <c r="E346" s="83">
        <v>66.923557194087849</v>
      </c>
      <c r="F346">
        <v>7</v>
      </c>
      <c r="G346" s="83">
        <v>17.127886021057826</v>
      </c>
      <c r="H346" s="83">
        <v>12.962706666700001</v>
      </c>
      <c r="I346" s="83">
        <v>621.47000000000048</v>
      </c>
      <c r="J346" s="83">
        <v>89.594576760133194</v>
      </c>
      <c r="K346" s="83">
        <v>1.4025011483299865</v>
      </c>
      <c r="L346" s="83">
        <v>68.470198933583433</v>
      </c>
    </row>
    <row r="347" spans="1:12">
      <c r="A347" t="s">
        <v>565</v>
      </c>
      <c r="B347">
        <v>10346</v>
      </c>
      <c r="C347" s="83">
        <v>736.2900000000003</v>
      </c>
      <c r="D347" s="83">
        <v>9.3357444564619065</v>
      </c>
      <c r="E347" s="83">
        <v>77.701319119782923</v>
      </c>
      <c r="F347">
        <v>7</v>
      </c>
      <c r="G347" s="83">
        <v>10.321028740002575</v>
      </c>
      <c r="H347" s="83">
        <v>11.553143396300001</v>
      </c>
      <c r="I347" s="83">
        <v>636.09000000000071</v>
      </c>
      <c r="J347" s="83">
        <v>90.104807671065018</v>
      </c>
      <c r="K347" s="83">
        <v>2.6919109881917036</v>
      </c>
      <c r="L347" s="83">
        <v>78.032543222558814</v>
      </c>
    </row>
    <row r="348" spans="1:12">
      <c r="A348" t="s">
        <v>566</v>
      </c>
      <c r="B348">
        <v>10347</v>
      </c>
      <c r="C348" s="83">
        <v>730.9300000000004</v>
      </c>
      <c r="D348" s="83">
        <v>18.628701834365017</v>
      </c>
      <c r="E348" s="83">
        <v>39.810156505680922</v>
      </c>
      <c r="F348">
        <v>7</v>
      </c>
      <c r="G348" s="83">
        <v>4.7426319099601448</v>
      </c>
      <c r="H348" s="83">
        <v>9.7797342197199999</v>
      </c>
      <c r="I348" s="83">
        <v>636.09000000000071</v>
      </c>
      <c r="J348" s="83">
        <v>3.6413008834923328</v>
      </c>
      <c r="K348" s="83">
        <v>7.0581241887466906</v>
      </c>
      <c r="L348" s="83">
        <v>35.867542282294828</v>
      </c>
    </row>
    <row r="349" spans="1:12">
      <c r="A349" t="s">
        <v>567</v>
      </c>
      <c r="B349">
        <v>10348</v>
      </c>
      <c r="C349" s="83">
        <v>713.25000000000023</v>
      </c>
      <c r="D349" s="83">
        <v>58.387250535871956</v>
      </c>
      <c r="E349" s="83">
        <v>69.631327429113142</v>
      </c>
      <c r="F349">
        <v>7</v>
      </c>
      <c r="G349" s="83">
        <v>6.9439953438449606</v>
      </c>
      <c r="H349" s="83">
        <v>7.6849435270599997</v>
      </c>
      <c r="I349" s="83">
        <v>650.56000000000063</v>
      </c>
      <c r="J349" s="83">
        <v>98.086715413555865</v>
      </c>
      <c r="K349" s="83">
        <v>6.7782016751713803</v>
      </c>
      <c r="L349" s="83">
        <v>63.917878776186264</v>
      </c>
    </row>
    <row r="350" spans="1:12">
      <c r="A350" t="s">
        <v>568</v>
      </c>
      <c r="B350">
        <v>10349</v>
      </c>
      <c r="C350" s="83">
        <v>729.31000000000063</v>
      </c>
      <c r="D350" s="83">
        <v>33.085375417714772</v>
      </c>
      <c r="E350" s="83">
        <v>78.676852312725615</v>
      </c>
      <c r="F350">
        <v>7</v>
      </c>
      <c r="G350" s="83">
        <v>8.2173262106663358</v>
      </c>
      <c r="H350" s="83">
        <v>9.5933870098899998</v>
      </c>
      <c r="I350" s="83">
        <v>645.59000000000083</v>
      </c>
      <c r="J350" s="83">
        <v>75.204163561584565</v>
      </c>
      <c r="K350" s="83">
        <v>2.4236257078823891</v>
      </c>
      <c r="L350" s="83">
        <v>80.013514204028496</v>
      </c>
    </row>
    <row r="351" spans="1:12">
      <c r="A351" t="s">
        <v>569</v>
      </c>
      <c r="B351">
        <v>10350</v>
      </c>
      <c r="C351" s="83">
        <v>772.87000000000012</v>
      </c>
      <c r="D351" s="83">
        <v>21.990294051074056</v>
      </c>
      <c r="E351" s="83">
        <v>56.303103231545649</v>
      </c>
      <c r="F351">
        <v>7</v>
      </c>
      <c r="G351" s="83">
        <v>13.427399811725373</v>
      </c>
      <c r="H351" s="83">
        <v>11.043583892900001</v>
      </c>
      <c r="I351" s="83">
        <v>645.59000000000083</v>
      </c>
      <c r="J351" s="83">
        <v>75.730247709778553</v>
      </c>
      <c r="K351" s="83">
        <v>2.3986999760130003</v>
      </c>
      <c r="L351" s="83">
        <v>60.162400197372556</v>
      </c>
    </row>
    <row r="352" spans="1:12">
      <c r="A352" t="s">
        <v>570</v>
      </c>
      <c r="B352">
        <v>10351</v>
      </c>
      <c r="C352" s="83">
        <v>771.20000000000016</v>
      </c>
      <c r="D352" s="83">
        <v>21.406036677449542</v>
      </c>
      <c r="E352" s="83">
        <v>53.191389884443019</v>
      </c>
      <c r="F352">
        <v>7</v>
      </c>
      <c r="G352" s="83">
        <v>16.011699992467275</v>
      </c>
      <c r="H352" s="83">
        <v>11.825016405400001</v>
      </c>
      <c r="I352" s="83">
        <v>648.56000000000074</v>
      </c>
      <c r="J352" s="83">
        <v>73.820714736810984</v>
      </c>
      <c r="K352" s="83">
        <v>2.9140001165600045</v>
      </c>
      <c r="L352" s="83">
        <v>57.853999559160449</v>
      </c>
    </row>
    <row r="353" spans="1:12">
      <c r="A353" t="s">
        <v>571</v>
      </c>
      <c r="B353">
        <v>10352</v>
      </c>
      <c r="C353" s="83">
        <v>773.60000000000014</v>
      </c>
      <c r="D353" s="83">
        <v>46.986571727394988</v>
      </c>
      <c r="E353" s="83">
        <v>63.236110749798783</v>
      </c>
      <c r="F353">
        <v>7</v>
      </c>
      <c r="G353" s="83">
        <v>13.003400306964577</v>
      </c>
      <c r="H353" s="83">
        <v>8.7351061226799995</v>
      </c>
      <c r="I353" s="83">
        <v>648.56000000000074</v>
      </c>
      <c r="J353" s="83">
        <v>51.554723102073318</v>
      </c>
      <c r="K353" s="83">
        <v>3.5694999643049998</v>
      </c>
      <c r="L353" s="83">
        <v>65.51730020982346</v>
      </c>
    </row>
    <row r="354" spans="1:12">
      <c r="A354" t="s">
        <v>572</v>
      </c>
      <c r="B354">
        <v>10353</v>
      </c>
      <c r="C354" s="83">
        <v>767.04000000000053</v>
      </c>
      <c r="D354" s="83">
        <v>51.103481020660226</v>
      </c>
      <c r="E354" s="83">
        <v>58.137950302697526</v>
      </c>
      <c r="F354">
        <v>7</v>
      </c>
      <c r="G354" s="83">
        <v>10.882523208354952</v>
      </c>
      <c r="H354" s="83">
        <v>8.728696940859999</v>
      </c>
      <c r="I354" s="83">
        <v>647.3300000000005</v>
      </c>
      <c r="J354" s="83">
        <v>51.637430765848826</v>
      </c>
      <c r="K354" s="83">
        <v>5.3499414468469118</v>
      </c>
      <c r="L354" s="83">
        <v>60.64727588140444</v>
      </c>
    </row>
    <row r="355" spans="1:12">
      <c r="A355" t="s">
        <v>573</v>
      </c>
      <c r="B355">
        <v>10354</v>
      </c>
      <c r="C355" s="83">
        <v>756.27000000000021</v>
      </c>
      <c r="D355" s="83">
        <v>37.064171024276902</v>
      </c>
      <c r="E355" s="83">
        <v>59.797461256489356</v>
      </c>
      <c r="F355">
        <v>7</v>
      </c>
      <c r="G355" s="83">
        <v>16.619647505488388</v>
      </c>
      <c r="H355" s="83">
        <v>9.6280891101599995</v>
      </c>
      <c r="I355" s="83">
        <v>647.3300000000005</v>
      </c>
      <c r="J355" s="83">
        <v>96.752806758502004</v>
      </c>
      <c r="K355" s="83">
        <v>5.3054721145803878</v>
      </c>
      <c r="L355" s="83">
        <v>63.849511343535269</v>
      </c>
    </row>
    <row r="356" spans="1:12">
      <c r="A356" t="s">
        <v>574</v>
      </c>
      <c r="B356">
        <v>10355</v>
      </c>
      <c r="C356" s="83">
        <v>773.4400000000004</v>
      </c>
      <c r="D356" s="83">
        <v>9.1081715627571036</v>
      </c>
      <c r="E356" s="83">
        <v>64.878919991196483</v>
      </c>
      <c r="F356">
        <v>7</v>
      </c>
      <c r="G356" s="83">
        <v>4.9058699829183574</v>
      </c>
      <c r="H356" s="83">
        <v>11.614475944700001</v>
      </c>
      <c r="I356" s="83">
        <v>645.5800000000005</v>
      </c>
      <c r="J356" s="83">
        <v>0</v>
      </c>
      <c r="K356" s="83">
        <v>21.787740013270852</v>
      </c>
      <c r="L356" s="83">
        <v>60.92525532852369</v>
      </c>
    </row>
    <row r="357" spans="1:12">
      <c r="A357" t="s">
        <v>575</v>
      </c>
      <c r="B357">
        <v>10356</v>
      </c>
      <c r="C357" s="83">
        <v>789.5600000000004</v>
      </c>
      <c r="D357" s="83">
        <v>57.264379838948557</v>
      </c>
      <c r="E357" s="83">
        <v>57.100176978249415</v>
      </c>
      <c r="F357">
        <v>7</v>
      </c>
      <c r="G357" s="83">
        <v>5.599463898200316</v>
      </c>
      <c r="H357" s="83">
        <v>8.2178368144699991</v>
      </c>
      <c r="I357" s="83">
        <v>645.5800000000005</v>
      </c>
      <c r="J357" s="83">
        <v>7.0629627255611185</v>
      </c>
      <c r="K357" s="83">
        <v>16.908189638402877</v>
      </c>
      <c r="L357" s="83">
        <v>61.476951172361773</v>
      </c>
    </row>
    <row r="358" spans="1:12">
      <c r="A358" t="s">
        <v>576</v>
      </c>
      <c r="B358">
        <v>10357</v>
      </c>
      <c r="C358" s="83">
        <v>827.35000000000014</v>
      </c>
      <c r="D358" s="83">
        <v>95.688385598639286</v>
      </c>
      <c r="E358" s="83">
        <v>8.8322741494041175</v>
      </c>
      <c r="F358">
        <v>2</v>
      </c>
      <c r="G358" s="83">
        <v>4.8600400604421772</v>
      </c>
      <c r="H358" s="83">
        <v>2.0159547861</v>
      </c>
      <c r="I358" s="83">
        <v>663.65000000000077</v>
      </c>
      <c r="J358" s="83">
        <v>0</v>
      </c>
      <c r="K358" s="83">
        <v>6.0139918720747829</v>
      </c>
      <c r="L358" s="83">
        <v>6.6000548323047541</v>
      </c>
    </row>
    <row r="359" spans="1:12">
      <c r="A359" t="s">
        <v>577</v>
      </c>
      <c r="B359">
        <v>10358</v>
      </c>
      <c r="C359" s="83">
        <v>877.52000000000021</v>
      </c>
      <c r="D359" s="83">
        <v>92.454239540506165</v>
      </c>
      <c r="E359" s="83">
        <v>18.782515246579507</v>
      </c>
      <c r="F359">
        <v>2</v>
      </c>
      <c r="G359" s="83">
        <v>9.7089568421861205</v>
      </c>
      <c r="H359" s="83">
        <v>2.1156973060199999</v>
      </c>
      <c r="I359" s="83">
        <v>663.65000000000077</v>
      </c>
      <c r="J359" s="83">
        <v>0</v>
      </c>
      <c r="K359" s="83">
        <v>13.608058932397185</v>
      </c>
      <c r="L359" s="83">
        <v>18.76803454365329</v>
      </c>
    </row>
    <row r="360" spans="1:12">
      <c r="A360" t="s">
        <v>578</v>
      </c>
      <c r="B360">
        <v>10359</v>
      </c>
      <c r="C360" s="83">
        <v>903.53000000000031</v>
      </c>
      <c r="D360" s="83">
        <v>67.833177656754913</v>
      </c>
      <c r="E360" s="83">
        <v>41.338904541197344</v>
      </c>
      <c r="F360">
        <v>2</v>
      </c>
      <c r="G360" s="83">
        <v>13.410533460169704</v>
      </c>
      <c r="H360" s="83">
        <v>4.5065537013699997</v>
      </c>
      <c r="I360" s="83">
        <v>648.55000000000052</v>
      </c>
      <c r="J360" s="83">
        <v>15.149803907160516</v>
      </c>
      <c r="K360" s="83">
        <v>16.321258305711108</v>
      </c>
      <c r="L360" s="83">
        <v>40.083608486599019</v>
      </c>
    </row>
    <row r="361" spans="1:12">
      <c r="A361" t="s">
        <v>579</v>
      </c>
      <c r="B361">
        <v>10360</v>
      </c>
      <c r="C361" s="83">
        <v>905.77000000000044</v>
      </c>
      <c r="D361" s="83">
        <v>71.112034187546385</v>
      </c>
      <c r="E361" s="83">
        <v>59.83500912407284</v>
      </c>
      <c r="F361">
        <v>2</v>
      </c>
      <c r="G361" s="83">
        <v>10.09929997897922</v>
      </c>
      <c r="H361" s="83">
        <v>5.9394203683199995</v>
      </c>
      <c r="I361" s="83">
        <v>648.55000000000052</v>
      </c>
      <c r="J361" s="83">
        <v>16.13718256123525</v>
      </c>
      <c r="K361" s="83">
        <v>5.923100177693005</v>
      </c>
      <c r="L361" s="83">
        <v>62.388400330650384</v>
      </c>
    </row>
    <row r="362" spans="1:12">
      <c r="A362" t="s">
        <v>580</v>
      </c>
      <c r="B362">
        <v>10361</v>
      </c>
      <c r="C362" s="83">
        <v>896.61000000000024</v>
      </c>
      <c r="D362" s="83">
        <v>67.967049132507867</v>
      </c>
      <c r="E362" s="83">
        <v>71.152492416406304</v>
      </c>
      <c r="F362">
        <v>2</v>
      </c>
      <c r="G362" s="83">
        <v>10.143999678120176</v>
      </c>
      <c r="H362" s="83">
        <v>6.5534982096099998</v>
      </c>
      <c r="I362" s="83">
        <v>641.46000000000072</v>
      </c>
      <c r="J362" s="83">
        <v>16.048694658521669</v>
      </c>
      <c r="K362" s="83">
        <v>4.9614999007700025</v>
      </c>
      <c r="L362" s="83">
        <v>70.129200989415551</v>
      </c>
    </row>
    <row r="363" spans="1:12">
      <c r="A363" t="s">
        <v>581</v>
      </c>
      <c r="B363">
        <v>10362</v>
      </c>
      <c r="C363" s="83">
        <v>886.24000000000012</v>
      </c>
      <c r="D363" s="83">
        <v>77.242039479346147</v>
      </c>
      <c r="E363" s="83">
        <v>71.113835383353845</v>
      </c>
      <c r="F363">
        <v>2</v>
      </c>
      <c r="G363" s="83">
        <v>8.4474288382948632</v>
      </c>
      <c r="H363" s="83">
        <v>6.5676962470299998</v>
      </c>
      <c r="I363" s="83">
        <v>641.46000000000072</v>
      </c>
      <c r="J363" s="83">
        <v>16.49972972147124</v>
      </c>
      <c r="K363" s="83">
        <v>2.8292618633279618</v>
      </c>
      <c r="L363" s="83">
        <v>72.252638209619818</v>
      </c>
    </row>
    <row r="364" spans="1:12">
      <c r="A364" t="s">
        <v>582</v>
      </c>
      <c r="B364">
        <v>10363</v>
      </c>
      <c r="C364" s="83">
        <v>865.08000000000027</v>
      </c>
      <c r="D364" s="83">
        <v>70.453756241194867</v>
      </c>
      <c r="E364" s="83">
        <v>76.964905324713314</v>
      </c>
      <c r="F364">
        <v>2</v>
      </c>
      <c r="G364" s="83">
        <v>9.3324264592840578</v>
      </c>
      <c r="H364" s="83">
        <v>5.3252874013699998</v>
      </c>
      <c r="I364" s="83">
        <v>642.83000000000072</v>
      </c>
      <c r="J364" s="83">
        <v>1.6641273634712133</v>
      </c>
      <c r="K364" s="83">
        <v>1.3668279254617499</v>
      </c>
      <c r="L364" s="83">
        <v>77.248629776997149</v>
      </c>
    </row>
    <row r="365" spans="1:12">
      <c r="A365" t="s">
        <v>583</v>
      </c>
      <c r="B365">
        <v>10364</v>
      </c>
      <c r="C365" s="83">
        <v>832.24000000000046</v>
      </c>
      <c r="D365" s="83">
        <v>61.814435634835334</v>
      </c>
      <c r="E365" s="83">
        <v>35.795514437960499</v>
      </c>
      <c r="F365">
        <v>2</v>
      </c>
      <c r="G365" s="83">
        <v>22.00799505046578</v>
      </c>
      <c r="H365" s="83">
        <v>4.4118211090999999</v>
      </c>
      <c r="I365" s="83">
        <v>642.83000000000072</v>
      </c>
      <c r="J365" s="83">
        <v>0.99623549730811345</v>
      </c>
      <c r="K365" s="83">
        <v>11.762287078119069</v>
      </c>
      <c r="L365" s="83">
        <v>36.330314362940932</v>
      </c>
    </row>
    <row r="366" spans="1:12">
      <c r="A366" t="s">
        <v>584</v>
      </c>
      <c r="B366">
        <v>10365</v>
      </c>
      <c r="C366" s="83">
        <v>817.16000000000065</v>
      </c>
      <c r="D366" s="83">
        <v>72.129869461549958</v>
      </c>
      <c r="E366" s="83">
        <v>9.3159332011248868</v>
      </c>
      <c r="F366">
        <v>4</v>
      </c>
      <c r="G366" s="83">
        <v>36.172681796530995</v>
      </c>
      <c r="H366" s="83">
        <v>4.37639197762</v>
      </c>
      <c r="I366" s="83">
        <v>651.99000000000069</v>
      </c>
      <c r="J366" s="83">
        <v>0</v>
      </c>
      <c r="K366" s="83">
        <v>4.6415377834082685</v>
      </c>
      <c r="L366" s="83">
        <v>8.4143285658717861</v>
      </c>
    </row>
    <row r="367" spans="1:12">
      <c r="A367" t="s">
        <v>585</v>
      </c>
      <c r="B367">
        <v>10366</v>
      </c>
      <c r="C367" s="83">
        <v>734.44000000000028</v>
      </c>
      <c r="D367" s="83">
        <v>88.551917681666168</v>
      </c>
      <c r="E367" s="83">
        <v>63.953586914338494</v>
      </c>
      <c r="F367">
        <v>4</v>
      </c>
      <c r="G367" s="83">
        <v>6.1728184307987473</v>
      </c>
      <c r="H367" s="83">
        <v>2.9064647291499996</v>
      </c>
      <c r="I367" s="83">
        <v>645.55000000000064</v>
      </c>
      <c r="J367" s="83">
        <v>11.462917626447318</v>
      </c>
      <c r="K367" s="83">
        <v>6.8150082944106609</v>
      </c>
      <c r="L367" s="83">
        <v>49.914704530311006</v>
      </c>
    </row>
    <row r="368" spans="1:12">
      <c r="A368" t="s">
        <v>586</v>
      </c>
      <c r="B368">
        <v>10367</v>
      </c>
      <c r="C368" s="83">
        <v>728.74000000000046</v>
      </c>
      <c r="D368" s="83">
        <v>51.762871555907076</v>
      </c>
      <c r="E368" s="83">
        <v>62.135562974222893</v>
      </c>
      <c r="F368">
        <v>5</v>
      </c>
      <c r="G368" s="83">
        <v>6.9332330907896775</v>
      </c>
      <c r="H368" s="83">
        <v>5.7330224802199998</v>
      </c>
      <c r="I368" s="83">
        <v>628.57000000000085</v>
      </c>
      <c r="J368" s="83">
        <v>19.78388592710721</v>
      </c>
      <c r="K368" s="83">
        <v>5.9753949564133446</v>
      </c>
      <c r="L368" s="83">
        <v>56.016643059942773</v>
      </c>
    </row>
    <row r="369" spans="1:12">
      <c r="A369" t="s">
        <v>587</v>
      </c>
      <c r="B369">
        <v>10368</v>
      </c>
      <c r="C369" s="83">
        <v>720.06000000000017</v>
      </c>
      <c r="D369" s="83">
        <v>23.194147742519082</v>
      </c>
      <c r="E369" s="83">
        <v>74.309398408331617</v>
      </c>
      <c r="F369">
        <v>5</v>
      </c>
      <c r="G369" s="83">
        <v>9.1060074573838552</v>
      </c>
      <c r="H369" s="83">
        <v>9.1637592424900003</v>
      </c>
      <c r="I369" s="83">
        <v>628.57000000000085</v>
      </c>
      <c r="J369" s="83">
        <v>50.107889869689572</v>
      </c>
      <c r="K369" s="83">
        <v>2.2177886018141626</v>
      </c>
      <c r="L369" s="83">
        <v>74.890256639174325</v>
      </c>
    </row>
    <row r="370" spans="1:12">
      <c r="A370" t="s">
        <v>588</v>
      </c>
      <c r="B370">
        <v>10369</v>
      </c>
      <c r="C370" s="83">
        <v>748.63000000000034</v>
      </c>
      <c r="D370" s="83">
        <v>63.464306071395285</v>
      </c>
      <c r="E370" s="83">
        <v>53.744565780533172</v>
      </c>
      <c r="F370">
        <v>5</v>
      </c>
      <c r="G370" s="83">
        <v>10.99350008987008</v>
      </c>
      <c r="H370" s="83">
        <v>6.4604024320999995</v>
      </c>
      <c r="I370" s="83">
        <v>612.99000000000069</v>
      </c>
      <c r="J370" s="83">
        <v>88.508266842121913</v>
      </c>
      <c r="K370" s="83">
        <v>3.0208000604160015</v>
      </c>
      <c r="L370" s="83">
        <v>57.635300745707575</v>
      </c>
    </row>
    <row r="371" spans="1:12">
      <c r="A371" t="s">
        <v>589</v>
      </c>
      <c r="B371">
        <v>10370</v>
      </c>
      <c r="C371" s="83">
        <v>757.25000000000068</v>
      </c>
      <c r="D371" s="83">
        <v>39.788218930539216</v>
      </c>
      <c r="E371" s="83">
        <v>57.935611343355887</v>
      </c>
      <c r="F371">
        <v>6</v>
      </c>
      <c r="G371" s="83">
        <v>13.765099841953688</v>
      </c>
      <c r="H371" s="83">
        <v>9.2602734806799987</v>
      </c>
      <c r="I371" s="83">
        <v>612.99000000000069</v>
      </c>
      <c r="J371" s="83">
        <v>84.779931095227028</v>
      </c>
      <c r="K371" s="83">
        <v>2.6718000801540023</v>
      </c>
      <c r="L371" s="83">
        <v>60.924800166744419</v>
      </c>
    </row>
    <row r="372" spans="1:12">
      <c r="A372" t="s">
        <v>590</v>
      </c>
      <c r="B372">
        <v>10371</v>
      </c>
      <c r="C372" s="83">
        <v>732.6400000000001</v>
      </c>
      <c r="D372" s="83">
        <v>14.3567716035896</v>
      </c>
      <c r="E372" s="83">
        <v>48.743946243892218</v>
      </c>
      <c r="F372">
        <v>7</v>
      </c>
      <c r="G372" s="83">
        <v>25.979122213282999</v>
      </c>
      <c r="H372" s="83">
        <v>11.2855816111</v>
      </c>
      <c r="I372" s="83">
        <v>646.45000000000061</v>
      </c>
      <c r="J372" s="83">
        <v>88.352216547702312</v>
      </c>
      <c r="K372" s="83">
        <v>1.7622899415852149</v>
      </c>
      <c r="L372" s="83">
        <v>48.687234207470873</v>
      </c>
    </row>
    <row r="373" spans="1:12">
      <c r="A373" t="s">
        <v>591</v>
      </c>
      <c r="B373">
        <v>10372</v>
      </c>
      <c r="C373" s="83">
        <v>714.83000000000027</v>
      </c>
      <c r="D373" s="83">
        <v>70.975402512928056</v>
      </c>
      <c r="E373" s="83">
        <v>68.685106062072876</v>
      </c>
      <c r="F373">
        <v>7</v>
      </c>
      <c r="G373" s="83">
        <v>15.28749467084269</v>
      </c>
      <c r="H373" s="83">
        <v>8.7143595282999993</v>
      </c>
      <c r="I373" s="83">
        <v>646.45000000000061</v>
      </c>
      <c r="J373" s="83">
        <v>13.507741002606263</v>
      </c>
      <c r="K373" s="83">
        <v>2.7022586807441842</v>
      </c>
      <c r="L373" s="83">
        <v>71.806092456263244</v>
      </c>
    </row>
    <row r="374" spans="1:12">
      <c r="A374" t="s">
        <v>592</v>
      </c>
      <c r="B374">
        <v>10373</v>
      </c>
      <c r="C374" s="83">
        <v>709.50000000000057</v>
      </c>
      <c r="D374" s="83">
        <v>51.595103010198876</v>
      </c>
      <c r="E374" s="83">
        <v>46.159938906725714</v>
      </c>
      <c r="F374">
        <v>7</v>
      </c>
      <c r="G374" s="83">
        <v>10.142200712200029</v>
      </c>
      <c r="H374" s="83">
        <v>7.0945023404899992</v>
      </c>
      <c r="I374" s="83">
        <v>676.10000000000059</v>
      </c>
      <c r="J374" s="83">
        <v>78.487879362644563</v>
      </c>
      <c r="K374" s="83">
        <v>8.23029738948612</v>
      </c>
      <c r="L374" s="83">
        <v>52.158709965564157</v>
      </c>
    </row>
    <row r="375" spans="1:12">
      <c r="A375" t="s">
        <v>593</v>
      </c>
      <c r="B375">
        <v>10374</v>
      </c>
      <c r="C375" s="83">
        <v>712.69000000000051</v>
      </c>
      <c r="D375" s="83">
        <v>35.46148000934101</v>
      </c>
      <c r="E375" s="83">
        <v>52.340065789685497</v>
      </c>
      <c r="F375">
        <v>7</v>
      </c>
      <c r="G375" s="83">
        <v>4.3643314869696193</v>
      </c>
      <c r="H375" s="83">
        <v>6.9724742036599991</v>
      </c>
      <c r="I375" s="83">
        <v>680.2300000000007</v>
      </c>
      <c r="J375" s="83">
        <v>57.633767367341569</v>
      </c>
      <c r="K375" s="83">
        <v>8.2853593065660842</v>
      </c>
      <c r="L375" s="83">
        <v>34.047179545024328</v>
      </c>
    </row>
    <row r="376" spans="1:12">
      <c r="A376" t="s">
        <v>594</v>
      </c>
      <c r="B376">
        <v>10375</v>
      </c>
      <c r="C376" s="83">
        <v>715.13000000000045</v>
      </c>
      <c r="D376" s="83">
        <v>30.714531853443606</v>
      </c>
      <c r="E376" s="83">
        <v>68.276091083267332</v>
      </c>
      <c r="F376">
        <v>7</v>
      </c>
      <c r="G376" s="83">
        <v>8.687344970118982</v>
      </c>
      <c r="H376" s="83">
        <v>8.196699163269999</v>
      </c>
      <c r="I376" s="83">
        <v>663.55000000000064</v>
      </c>
      <c r="J376" s="83">
        <v>57.633767367341569</v>
      </c>
      <c r="K376" s="83">
        <v>10.34459200443802</v>
      </c>
      <c r="L376" s="83">
        <v>49.005918985087568</v>
      </c>
    </row>
    <row r="377" spans="1:12">
      <c r="A377" t="s">
        <v>595</v>
      </c>
      <c r="B377">
        <v>10376</v>
      </c>
      <c r="C377" s="83">
        <v>713.42000000000007</v>
      </c>
      <c r="D377" s="83">
        <v>63.526191521638296</v>
      </c>
      <c r="E377" s="83">
        <v>69.457985834078997</v>
      </c>
      <c r="F377">
        <v>7</v>
      </c>
      <c r="G377" s="83">
        <v>8.9900343885340757</v>
      </c>
      <c r="H377" s="83">
        <v>6.7039569840799995</v>
      </c>
      <c r="I377" s="83">
        <v>663.55000000000064</v>
      </c>
      <c r="J377" s="83">
        <v>98.685908511123216</v>
      </c>
      <c r="K377" s="83">
        <v>8.0509102247106608</v>
      </c>
      <c r="L377" s="83">
        <v>72.570027485067598</v>
      </c>
    </row>
    <row r="378" spans="1:12">
      <c r="A378" t="s">
        <v>596</v>
      </c>
      <c r="B378">
        <v>10377</v>
      </c>
      <c r="C378" s="83">
        <v>719.97000000000014</v>
      </c>
      <c r="D378" s="83">
        <v>40.097102368768795</v>
      </c>
      <c r="E378" s="83">
        <v>75.695317950570953</v>
      </c>
      <c r="F378">
        <v>7</v>
      </c>
      <c r="G378" s="83">
        <v>12.821600222648124</v>
      </c>
      <c r="H378" s="83">
        <v>9.2686505155900001</v>
      </c>
      <c r="I378" s="83">
        <v>654.01000000000067</v>
      </c>
      <c r="J378" s="83">
        <v>75.597516470385543</v>
      </c>
      <c r="K378" s="83">
        <v>1.8520000555600016</v>
      </c>
      <c r="L378" s="83">
        <v>78.015999708479583</v>
      </c>
    </row>
    <row r="379" spans="1:12">
      <c r="A379" t="s">
        <v>597</v>
      </c>
      <c r="B379">
        <v>10378</v>
      </c>
      <c r="C379" s="83">
        <v>782.13000000000034</v>
      </c>
      <c r="D379" s="83">
        <v>27.962611146548582</v>
      </c>
      <c r="E379" s="83">
        <v>45.956988897570092</v>
      </c>
      <c r="F379">
        <v>7</v>
      </c>
      <c r="G379" s="83">
        <v>31.667900583640897</v>
      </c>
      <c r="H379" s="83">
        <v>9.9189007460600003</v>
      </c>
      <c r="I379" s="83">
        <v>654.01000000000067</v>
      </c>
      <c r="J379" s="83">
        <v>70.554617852921226</v>
      </c>
      <c r="K379" s="83">
        <v>2.7127999457440009</v>
      </c>
      <c r="L379" s="83">
        <v>48.165399249695639</v>
      </c>
    </row>
    <row r="380" spans="1:12">
      <c r="A380" t="s">
        <v>598</v>
      </c>
      <c r="B380">
        <v>10379</v>
      </c>
      <c r="C380" s="83">
        <v>774.00000000000023</v>
      </c>
      <c r="D380" s="83">
        <v>23.155789631878278</v>
      </c>
      <c r="E380" s="83">
        <v>39.317744978836345</v>
      </c>
      <c r="F380">
        <v>7</v>
      </c>
      <c r="G380" s="83">
        <v>36.365499108966439</v>
      </c>
      <c r="H380" s="83">
        <v>9.9664221504999997</v>
      </c>
      <c r="I380" s="83">
        <v>656.89000000000055</v>
      </c>
      <c r="J380" s="83">
        <v>87.637949019153851</v>
      </c>
      <c r="K380" s="83">
        <v>2.4504000735120024</v>
      </c>
      <c r="L380" s="83">
        <v>43.669401446083519</v>
      </c>
    </row>
    <row r="381" spans="1:12">
      <c r="A381" t="s">
        <v>599</v>
      </c>
      <c r="B381">
        <v>10380</v>
      </c>
      <c r="C381" s="83">
        <v>766.9500000000005</v>
      </c>
      <c r="D381" s="83">
        <v>39.162465843969905</v>
      </c>
      <c r="E381" s="83">
        <v>69.477339293906766</v>
      </c>
      <c r="F381">
        <v>7</v>
      </c>
      <c r="G381" s="83">
        <v>11.089399863211788</v>
      </c>
      <c r="H381" s="83">
        <v>9.5979999481099991</v>
      </c>
      <c r="I381" s="83">
        <v>656.89000000000055</v>
      </c>
      <c r="J381" s="83">
        <v>60.427422594828904</v>
      </c>
      <c r="K381" s="83">
        <v>3.4724999305500015</v>
      </c>
      <c r="L381" s="83">
        <v>71.669199724615098</v>
      </c>
    </row>
    <row r="382" spans="1:12">
      <c r="A382" t="s">
        <v>600</v>
      </c>
      <c r="B382">
        <v>10381</v>
      </c>
      <c r="C382" s="83">
        <v>772.66000000000054</v>
      </c>
      <c r="D382" s="83">
        <v>36.582648132220598</v>
      </c>
      <c r="E382" s="83">
        <v>56.294633875285491</v>
      </c>
      <c r="F382">
        <v>7</v>
      </c>
      <c r="G382" s="83">
        <v>8.1761000092833278</v>
      </c>
      <c r="H382" s="83">
        <v>9.8000019318599989</v>
      </c>
      <c r="I382" s="83">
        <v>654.7100000000006</v>
      </c>
      <c r="J382" s="83">
        <v>61.803507738431271</v>
      </c>
      <c r="K382" s="83">
        <v>3.2831000984930032</v>
      </c>
      <c r="L382" s="83">
        <v>58.885798715573756</v>
      </c>
    </row>
    <row r="383" spans="1:12">
      <c r="A383" t="s">
        <v>601</v>
      </c>
      <c r="B383">
        <v>10382</v>
      </c>
      <c r="C383" s="83">
        <v>786.63000000000045</v>
      </c>
      <c r="D383" s="83">
        <v>29.00581652213728</v>
      </c>
      <c r="E383" s="83">
        <v>51.948950369583045</v>
      </c>
      <c r="F383">
        <v>7</v>
      </c>
      <c r="G383" s="83">
        <v>10.932444019370214</v>
      </c>
      <c r="H383" s="83">
        <v>10.314614968200001</v>
      </c>
      <c r="I383" s="83">
        <v>654.7100000000006</v>
      </c>
      <c r="J383" s="83">
        <v>63.268731600046188</v>
      </c>
      <c r="K383" s="83">
        <v>2.3960333919403674</v>
      </c>
      <c r="L383" s="83">
        <v>55.974146593486573</v>
      </c>
    </row>
    <row r="384" spans="1:12">
      <c r="A384" t="s">
        <v>602</v>
      </c>
      <c r="B384">
        <v>10383</v>
      </c>
      <c r="C384" s="83">
        <v>779.51000000000045</v>
      </c>
      <c r="D384" s="83">
        <v>26.266801139197803</v>
      </c>
      <c r="E384" s="83">
        <v>66.762658785867501</v>
      </c>
      <c r="F384">
        <v>7</v>
      </c>
      <c r="G384" s="83">
        <v>8.6801495216231643</v>
      </c>
      <c r="H384" s="83">
        <v>10.2263527657</v>
      </c>
      <c r="I384" s="83">
        <v>652.4600000000006</v>
      </c>
      <c r="J384" s="83">
        <v>18.853688076221413</v>
      </c>
      <c r="K384" s="83">
        <v>11.131317891278867</v>
      </c>
      <c r="L384" s="83">
        <v>61.62301971034816</v>
      </c>
    </row>
    <row r="385" spans="1:12">
      <c r="A385" t="s">
        <v>603</v>
      </c>
      <c r="B385">
        <v>10384</v>
      </c>
      <c r="C385" s="83">
        <v>793.93999999999994</v>
      </c>
      <c r="D385" s="83">
        <v>28.543481562034337</v>
      </c>
      <c r="E385" s="83">
        <v>76.68049318684109</v>
      </c>
      <c r="F385">
        <v>7</v>
      </c>
      <c r="G385" s="83">
        <v>10.294501079122835</v>
      </c>
      <c r="H385" s="83">
        <v>10.5311107576</v>
      </c>
      <c r="I385" s="83">
        <v>652.4600000000006</v>
      </c>
      <c r="J385" s="83">
        <v>28.626987344912568</v>
      </c>
      <c r="K385" s="83">
        <v>3.0887634709638787</v>
      </c>
      <c r="L385" s="83">
        <v>74.950144364609841</v>
      </c>
    </row>
    <row r="386" spans="1:12">
      <c r="A386" t="s">
        <v>604</v>
      </c>
      <c r="B386">
        <v>10385</v>
      </c>
      <c r="C386" s="83">
        <v>778.47</v>
      </c>
      <c r="D386" s="83">
        <v>94.580461094889429</v>
      </c>
      <c r="E386" s="83">
        <v>0</v>
      </c>
      <c r="F386">
        <v>2</v>
      </c>
      <c r="G386" s="83">
        <v>32.894821838876666</v>
      </c>
      <c r="H386" s="83">
        <v>2.2476100865099999</v>
      </c>
      <c r="I386" s="83">
        <v>663.65000000000077</v>
      </c>
      <c r="J386" s="83">
        <v>0</v>
      </c>
      <c r="K386" s="83">
        <v>2.3156359292537245</v>
      </c>
      <c r="L386" s="83">
        <v>0</v>
      </c>
    </row>
    <row r="387" spans="1:12">
      <c r="A387" t="s">
        <v>605</v>
      </c>
      <c r="B387">
        <v>10386</v>
      </c>
      <c r="C387" s="83">
        <v>881.39000000000033</v>
      </c>
      <c r="D387" s="83">
        <v>81.621010284469165</v>
      </c>
      <c r="E387" s="83">
        <v>17.862463242704688</v>
      </c>
      <c r="F387">
        <v>2</v>
      </c>
      <c r="G387" s="83">
        <v>20.50783816219807</v>
      </c>
      <c r="H387" s="83">
        <v>4.0207681660799999</v>
      </c>
      <c r="I387" s="83">
        <v>648.55000000000052</v>
      </c>
      <c r="J387" s="83">
        <v>2.9028855577715005</v>
      </c>
      <c r="K387" s="83">
        <v>21.403074003286786</v>
      </c>
      <c r="L387" s="83">
        <v>9.0795180130311604</v>
      </c>
    </row>
    <row r="388" spans="1:12">
      <c r="A388" t="s">
        <v>606</v>
      </c>
      <c r="B388">
        <v>10387</v>
      </c>
      <c r="C388" s="83">
        <v>868.04000000000019</v>
      </c>
      <c r="D388" s="83">
        <v>72.131754578382527</v>
      </c>
      <c r="E388" s="83">
        <v>16.400267237404769</v>
      </c>
      <c r="F388">
        <v>2</v>
      </c>
      <c r="G388" s="83">
        <v>60.544105671270415</v>
      </c>
      <c r="H388" s="83">
        <v>6.8048280629799995</v>
      </c>
      <c r="I388" s="83">
        <v>648.55000000000052</v>
      </c>
      <c r="J388" s="83">
        <v>84.416246803953484</v>
      </c>
      <c r="K388" s="83">
        <v>2.8400383706550381</v>
      </c>
      <c r="L388" s="83">
        <v>16.84167182692914</v>
      </c>
    </row>
    <row r="389" spans="1:12">
      <c r="A389" t="s">
        <v>607</v>
      </c>
      <c r="B389">
        <v>10388</v>
      </c>
      <c r="C389" s="83">
        <v>870.32000000000028</v>
      </c>
      <c r="D389" s="83">
        <v>75.958565597885098</v>
      </c>
      <c r="E389" s="83">
        <v>27.075608577037379</v>
      </c>
      <c r="F389">
        <v>2</v>
      </c>
      <c r="G389" s="83">
        <v>33.008754019154424</v>
      </c>
      <c r="H389" s="83">
        <v>4.4241608822199998</v>
      </c>
      <c r="I389" s="83">
        <v>641.46000000000072</v>
      </c>
      <c r="J389" s="83">
        <v>89.341102772566757</v>
      </c>
      <c r="K389" s="83">
        <v>2.6202540011479725</v>
      </c>
      <c r="L389" s="83">
        <v>29.529533877011161</v>
      </c>
    </row>
    <row r="390" spans="1:12">
      <c r="A390" t="s">
        <v>608</v>
      </c>
      <c r="B390">
        <v>10389</v>
      </c>
      <c r="C390" s="83">
        <v>880.56000000000017</v>
      </c>
      <c r="D390" s="83">
        <v>86.580263211078886</v>
      </c>
      <c r="E390" s="83">
        <v>46.712496473703148</v>
      </c>
      <c r="F390">
        <v>2</v>
      </c>
      <c r="G390" s="83">
        <v>14.699087361044764</v>
      </c>
      <c r="H390" s="83">
        <v>3.7637115266099999</v>
      </c>
      <c r="I390" s="83">
        <v>641.46000000000072</v>
      </c>
      <c r="J390" s="83">
        <v>16.356117853075258</v>
      </c>
      <c r="K390" s="83">
        <v>4.0982243010353718</v>
      </c>
      <c r="L390" s="83">
        <v>43.740886290160596</v>
      </c>
    </row>
    <row r="391" spans="1:12">
      <c r="A391" t="s">
        <v>609</v>
      </c>
      <c r="B391">
        <v>10390</v>
      </c>
      <c r="C391" s="83">
        <v>718.57000000000028</v>
      </c>
      <c r="D391" s="83">
        <v>60.952812506349112</v>
      </c>
      <c r="E391" s="83">
        <v>45.484093742926703</v>
      </c>
      <c r="F391">
        <v>5</v>
      </c>
      <c r="G391" s="83">
        <v>13.652123702478617</v>
      </c>
      <c r="H391" s="83">
        <v>5.9726244409999998</v>
      </c>
      <c r="I391" s="83">
        <v>628.57000000000085</v>
      </c>
      <c r="J391" s="83">
        <v>12.487401157189669</v>
      </c>
      <c r="K391" s="83">
        <v>4.2457915910237336</v>
      </c>
      <c r="L391" s="83">
        <v>47.20347767663192</v>
      </c>
    </row>
    <row r="392" spans="1:12">
      <c r="A392" t="s">
        <v>610</v>
      </c>
      <c r="B392">
        <v>10391</v>
      </c>
      <c r="C392" s="83">
        <v>748.34000000000037</v>
      </c>
      <c r="D392" s="83">
        <v>82.47024417628424</v>
      </c>
      <c r="E392" s="83">
        <v>42.20487736246389</v>
      </c>
      <c r="F392">
        <v>5</v>
      </c>
      <c r="G392" s="83">
        <v>7.1813998554425549</v>
      </c>
      <c r="H392" s="83">
        <v>5.3467300268499995</v>
      </c>
      <c r="I392" s="83">
        <v>612.99000000000069</v>
      </c>
      <c r="J392" s="83">
        <v>25.782773947279196</v>
      </c>
      <c r="K392" s="83">
        <v>3.8304001149120035</v>
      </c>
      <c r="L392" s="83">
        <v>45.895498346867448</v>
      </c>
    </row>
    <row r="393" spans="1:12">
      <c r="A393" t="s">
        <v>611</v>
      </c>
      <c r="B393">
        <v>10392</v>
      </c>
      <c r="C393" s="83">
        <v>769.61000000000024</v>
      </c>
      <c r="D393" s="83">
        <v>62.585627765536849</v>
      </c>
      <c r="E393" s="83">
        <v>50.242476632785419</v>
      </c>
      <c r="F393">
        <v>5</v>
      </c>
      <c r="G393" s="83">
        <v>12.385300081412186</v>
      </c>
      <c r="H393" s="83">
        <v>7.2219124620899997</v>
      </c>
      <c r="I393" s="83">
        <v>612.99000000000069</v>
      </c>
      <c r="J393" s="83">
        <v>79.602138555033847</v>
      </c>
      <c r="K393" s="83">
        <v>5.2333002093320085</v>
      </c>
      <c r="L393" s="83">
        <v>50.287499427498581</v>
      </c>
    </row>
    <row r="394" spans="1:12">
      <c r="A394" t="s">
        <v>612</v>
      </c>
      <c r="B394">
        <v>10393</v>
      </c>
      <c r="C394" s="83">
        <v>734.78000000000054</v>
      </c>
      <c r="D394" s="83">
        <v>43.318968919638664</v>
      </c>
      <c r="E394" s="83">
        <v>48.142487741971955</v>
      </c>
      <c r="F394">
        <v>7</v>
      </c>
      <c r="G394" s="83">
        <v>10.248686276441218</v>
      </c>
      <c r="H394" s="83">
        <v>9.3963906539999993</v>
      </c>
      <c r="I394" s="83">
        <v>646.45000000000061</v>
      </c>
      <c r="J394" s="83">
        <v>9.1444356838257299</v>
      </c>
      <c r="K394" s="83">
        <v>10.405382446712062</v>
      </c>
      <c r="L394" s="83">
        <v>50.787654205533414</v>
      </c>
    </row>
    <row r="395" spans="1:12">
      <c r="A395" t="s">
        <v>613</v>
      </c>
      <c r="B395">
        <v>10394</v>
      </c>
      <c r="C395" s="83">
        <v>681.46000000000026</v>
      </c>
      <c r="D395" s="83">
        <v>73.332281029629598</v>
      </c>
      <c r="E395" s="83">
        <v>56.123491020972857</v>
      </c>
      <c r="F395">
        <v>7</v>
      </c>
      <c r="G395" s="83">
        <v>14.910342650636895</v>
      </c>
      <c r="H395" s="83">
        <v>7.6839217819099996</v>
      </c>
      <c r="I395" s="83">
        <v>646.45000000000061</v>
      </c>
      <c r="J395" s="83">
        <v>18.86938861427382</v>
      </c>
      <c r="K395" s="83">
        <v>13.765946481597899</v>
      </c>
      <c r="L395" s="83">
        <v>55.992620359999954</v>
      </c>
    </row>
    <row r="396" spans="1:12">
      <c r="A396" t="s">
        <v>614</v>
      </c>
      <c r="B396">
        <v>10395</v>
      </c>
      <c r="C396" s="83">
        <v>664.28000000000043</v>
      </c>
      <c r="D396" s="83">
        <v>95.481929554403095</v>
      </c>
      <c r="E396" s="83">
        <v>34.397898937443763</v>
      </c>
      <c r="F396">
        <v>7</v>
      </c>
      <c r="G396" s="83">
        <v>15.243257467828119</v>
      </c>
      <c r="H396" s="83">
        <v>5.6093631410799993</v>
      </c>
      <c r="I396" s="83">
        <v>676.10000000000059</v>
      </c>
      <c r="J396" s="83">
        <v>54.523334521309089</v>
      </c>
      <c r="K396" s="83">
        <v>27.624571678548403</v>
      </c>
      <c r="L396" s="83">
        <v>25.535138187739204</v>
      </c>
    </row>
    <row r="397" spans="1:12">
      <c r="A397" t="s">
        <v>615</v>
      </c>
      <c r="B397">
        <v>10396</v>
      </c>
      <c r="C397" s="83">
        <v>687.96000000000038</v>
      </c>
      <c r="D397" s="83">
        <v>59.161056483957559</v>
      </c>
      <c r="E397" s="83">
        <v>63.731316817866073</v>
      </c>
      <c r="F397">
        <v>7</v>
      </c>
      <c r="G397" s="83">
        <v>11.317457520264464</v>
      </c>
      <c r="H397" s="83">
        <v>6.9096479135799997</v>
      </c>
      <c r="I397" s="83">
        <v>676.10000000000059</v>
      </c>
      <c r="J397" s="83">
        <v>61.195091655136025</v>
      </c>
      <c r="K397" s="83">
        <v>23.648334528305096</v>
      </c>
      <c r="L397" s="83">
        <v>47.714178232911188</v>
      </c>
    </row>
    <row r="398" spans="1:12">
      <c r="A398" t="s">
        <v>616</v>
      </c>
      <c r="B398">
        <v>10397</v>
      </c>
      <c r="C398" s="83">
        <v>670.40000000000043</v>
      </c>
      <c r="D398" s="83">
        <v>43.622181154206274</v>
      </c>
      <c r="E398" s="83">
        <v>59.343930556788962</v>
      </c>
      <c r="F398">
        <v>7</v>
      </c>
      <c r="G398" s="83">
        <v>12.333163591742347</v>
      </c>
      <c r="H398" s="83">
        <v>8.3148214604999993</v>
      </c>
      <c r="I398" s="83">
        <v>680.2300000000007</v>
      </c>
      <c r="J398" s="83">
        <v>38.133553756468217</v>
      </c>
      <c r="K398" s="83">
        <v>14.021160993733009</v>
      </c>
      <c r="L398" s="83">
        <v>59.836232295246731</v>
      </c>
    </row>
    <row r="399" spans="1:12">
      <c r="A399" t="s">
        <v>617</v>
      </c>
      <c r="B399">
        <v>10398</v>
      </c>
      <c r="C399" s="83">
        <v>667.57000000000028</v>
      </c>
      <c r="D399" s="83">
        <v>24.418107712313141</v>
      </c>
      <c r="E399" s="83">
        <v>75.200454453152062</v>
      </c>
      <c r="F399">
        <v>7</v>
      </c>
      <c r="G399" s="83">
        <v>10.548557419578003</v>
      </c>
      <c r="H399" s="83">
        <v>9.7152782844000001</v>
      </c>
      <c r="I399" s="83">
        <v>680.2300000000007</v>
      </c>
      <c r="J399" s="83">
        <v>51.865085893116422</v>
      </c>
      <c r="K399" s="83">
        <v>1.5104383665010439</v>
      </c>
      <c r="L399" s="83">
        <v>79.862398355692477</v>
      </c>
    </row>
    <row r="400" spans="1:12">
      <c r="A400" t="s">
        <v>618</v>
      </c>
      <c r="B400">
        <v>10399</v>
      </c>
      <c r="C400" s="83">
        <v>701.41000000000031</v>
      </c>
      <c r="D400" s="83">
        <v>39.552743009409539</v>
      </c>
      <c r="E400" s="83">
        <v>65.627476971392539</v>
      </c>
      <c r="F400">
        <v>7</v>
      </c>
      <c r="G400" s="83">
        <v>12.332107473341452</v>
      </c>
      <c r="H400" s="83">
        <v>9.1092898761099992</v>
      </c>
      <c r="I400" s="83">
        <v>654.01000000000067</v>
      </c>
      <c r="J400" s="83">
        <v>76.15486665516822</v>
      </c>
      <c r="K400" s="83">
        <v>4.6413132992248576</v>
      </c>
      <c r="L400" s="83">
        <v>67.481756740581588</v>
      </c>
    </row>
    <row r="401" spans="1:12">
      <c r="A401" t="s">
        <v>619</v>
      </c>
      <c r="B401">
        <v>10400</v>
      </c>
      <c r="C401" s="83">
        <v>768.38000000000022</v>
      </c>
      <c r="D401" s="83">
        <v>48.575289107651784</v>
      </c>
      <c r="E401" s="83">
        <v>53.564444731019371</v>
      </c>
      <c r="F401">
        <v>7</v>
      </c>
      <c r="G401" s="83">
        <v>22.224065861507597</v>
      </c>
      <c r="H401" s="83">
        <v>9.2164302633299986</v>
      </c>
      <c r="I401" s="83">
        <v>654.01000000000067</v>
      </c>
      <c r="J401" s="83">
        <v>62.662694080958971</v>
      </c>
      <c r="K401" s="83">
        <v>3.2626697023533131</v>
      </c>
      <c r="L401" s="83">
        <v>54.608230419841362</v>
      </c>
    </row>
    <row r="402" spans="1:12">
      <c r="A402" t="s">
        <v>620</v>
      </c>
      <c r="B402">
        <v>10401</v>
      </c>
      <c r="C402" s="83">
        <v>765.77000000000044</v>
      </c>
      <c r="D402" s="83">
        <v>28.98519105467188</v>
      </c>
      <c r="E402" s="83">
        <v>50.106037913434548</v>
      </c>
      <c r="F402">
        <v>7</v>
      </c>
      <c r="G402" s="83">
        <v>23.603500378140623</v>
      </c>
      <c r="H402" s="83">
        <v>10.131632208300001</v>
      </c>
      <c r="I402" s="83">
        <v>656.89000000000055</v>
      </c>
      <c r="J402" s="83">
        <v>57.605888488993074</v>
      </c>
      <c r="K402" s="83">
        <v>1.5151000606040026</v>
      </c>
      <c r="L402" s="83">
        <v>55.152799853119447</v>
      </c>
    </row>
    <row r="403" spans="1:12">
      <c r="A403" t="s">
        <v>621</v>
      </c>
      <c r="B403">
        <v>10402</v>
      </c>
      <c r="C403" s="83">
        <v>757.95000000000039</v>
      </c>
      <c r="D403" s="83">
        <v>15.055060737465841</v>
      </c>
      <c r="E403" s="83">
        <v>61.795050993233296</v>
      </c>
      <c r="F403">
        <v>7</v>
      </c>
      <c r="G403" s="83">
        <v>16.872999954269858</v>
      </c>
      <c r="H403" s="83">
        <v>10.796293996100001</v>
      </c>
      <c r="I403" s="83">
        <v>656.89000000000055</v>
      </c>
      <c r="J403" s="83">
        <v>61.787626319055086</v>
      </c>
      <c r="K403" s="83">
        <v>1.5702999842970002</v>
      </c>
      <c r="L403" s="83">
        <v>65.253900607460949</v>
      </c>
    </row>
    <row r="404" spans="1:12">
      <c r="A404" t="s">
        <v>622</v>
      </c>
      <c r="B404">
        <v>10403</v>
      </c>
      <c r="C404" s="83">
        <v>776.4300000000004</v>
      </c>
      <c r="D404" s="83">
        <v>20.602063636239833</v>
      </c>
      <c r="E404" s="83">
        <v>64.567157434177105</v>
      </c>
      <c r="F404">
        <v>7</v>
      </c>
      <c r="G404" s="83">
        <v>11.561700296468247</v>
      </c>
      <c r="H404" s="83">
        <v>10.833139989900001</v>
      </c>
      <c r="I404" s="83">
        <v>654.7100000000006</v>
      </c>
      <c r="J404" s="83">
        <v>63.927830146179957</v>
      </c>
      <c r="K404" s="83">
        <v>2.5104001004160041</v>
      </c>
      <c r="L404" s="83">
        <v>68.394799219791054</v>
      </c>
    </row>
    <row r="405" spans="1:12">
      <c r="A405" t="s">
        <v>623</v>
      </c>
      <c r="B405">
        <v>10404</v>
      </c>
      <c r="C405" s="83">
        <v>796.1700000000003</v>
      </c>
      <c r="D405" s="83">
        <v>17.239525409130817</v>
      </c>
      <c r="E405" s="83">
        <v>59.94278893269383</v>
      </c>
      <c r="F405">
        <v>7</v>
      </c>
      <c r="G405" s="83">
        <v>11.945856770155059</v>
      </c>
      <c r="H405" s="83">
        <v>11.5205702853</v>
      </c>
      <c r="I405" s="83">
        <v>654.7100000000006</v>
      </c>
      <c r="J405" s="83">
        <v>64.189451331685049</v>
      </c>
      <c r="K405" s="83">
        <v>2.000809660104915</v>
      </c>
      <c r="L405" s="83">
        <v>63.488584276383506</v>
      </c>
    </row>
    <row r="406" spans="1:12">
      <c r="A406" t="s">
        <v>624</v>
      </c>
      <c r="B406">
        <v>10405</v>
      </c>
      <c r="C406" s="83">
        <v>780.35000000000048</v>
      </c>
      <c r="D406" s="83">
        <v>11.194526423313434</v>
      </c>
      <c r="E406" s="83">
        <v>67.250456812976594</v>
      </c>
      <c r="F406">
        <v>7</v>
      </c>
      <c r="G406" s="83">
        <v>9.6185593140538703</v>
      </c>
      <c r="H406" s="83">
        <v>11.092682204700001</v>
      </c>
      <c r="I406" s="83">
        <v>652.4600000000006</v>
      </c>
      <c r="J406" s="83">
        <v>1.4646619839202539</v>
      </c>
      <c r="K406" s="83">
        <v>6.9875069608757894</v>
      </c>
      <c r="L406" s="83">
        <v>66.955062045027944</v>
      </c>
    </row>
    <row r="407" spans="1:12">
      <c r="A407" t="s">
        <v>625</v>
      </c>
      <c r="B407">
        <v>10406</v>
      </c>
      <c r="C407" s="83">
        <v>786.10999999999967</v>
      </c>
      <c r="D407" s="83">
        <v>32.619501219494559</v>
      </c>
      <c r="E407" s="83">
        <v>67.379739976061273</v>
      </c>
      <c r="F407">
        <v>7</v>
      </c>
      <c r="G407" s="83">
        <v>12.560392249650469</v>
      </c>
      <c r="H407" s="83">
        <v>10.1926910903</v>
      </c>
      <c r="I407" s="83">
        <v>652.4600000000006</v>
      </c>
      <c r="J407" s="83">
        <v>29.324886512549391</v>
      </c>
      <c r="K407" s="83">
        <v>7.9961512742755865</v>
      </c>
      <c r="L407" s="83">
        <v>60.251892367139511</v>
      </c>
    </row>
    <row r="408" spans="1:12">
      <c r="A408" t="s">
        <v>626</v>
      </c>
      <c r="B408">
        <v>10407</v>
      </c>
      <c r="C408" s="83">
        <v>785.85</v>
      </c>
      <c r="D408" s="83">
        <v>33.49632238119311</v>
      </c>
      <c r="E408" s="83">
        <v>74.122074516618568</v>
      </c>
      <c r="F408">
        <v>7</v>
      </c>
      <c r="G408" s="83">
        <v>13.065275576173121</v>
      </c>
      <c r="H408" s="83">
        <v>10.1309219986</v>
      </c>
      <c r="I408" s="83">
        <v>659.60000000000059</v>
      </c>
      <c r="J408" s="83">
        <v>12.062176713660847</v>
      </c>
      <c r="K408" s="83">
        <v>5.466546760557117</v>
      </c>
      <c r="L408" s="83">
        <v>61.76451457424227</v>
      </c>
    </row>
    <row r="409" spans="1:12">
      <c r="A409" t="s">
        <v>627</v>
      </c>
      <c r="B409">
        <v>10408</v>
      </c>
      <c r="C409" s="83">
        <v>734.75000000000034</v>
      </c>
      <c r="D409" s="83">
        <v>63.816896724694487</v>
      </c>
      <c r="E409" s="83">
        <v>32.300059978859146</v>
      </c>
      <c r="F409">
        <v>5</v>
      </c>
      <c r="G409" s="83">
        <v>10.0980882292746</v>
      </c>
      <c r="H409" s="83">
        <v>4.8074937325499993</v>
      </c>
      <c r="I409" s="83">
        <v>651.04000000000065</v>
      </c>
      <c r="J409" s="83">
        <v>5.8318714288451599</v>
      </c>
      <c r="K409" s="83">
        <v>2.5500469721787753</v>
      </c>
      <c r="L409" s="83">
        <v>34.048059749878654</v>
      </c>
    </row>
    <row r="410" spans="1:12">
      <c r="A410" t="s">
        <v>628</v>
      </c>
      <c r="B410">
        <v>10409</v>
      </c>
      <c r="C410" s="83">
        <v>754.59000000000049</v>
      </c>
      <c r="D410" s="83">
        <v>78.24056935538988</v>
      </c>
      <c r="E410" s="83">
        <v>67.87960429420967</v>
      </c>
      <c r="F410">
        <v>5</v>
      </c>
      <c r="G410" s="83">
        <v>8.6560999838776898</v>
      </c>
      <c r="H410" s="83">
        <v>6.4545601350399995</v>
      </c>
      <c r="I410" s="83">
        <v>639.3400000000006</v>
      </c>
      <c r="J410" s="83">
        <v>45.994335724695752</v>
      </c>
      <c r="K410" s="83">
        <v>1.8696999626060009</v>
      </c>
      <c r="L410" s="83">
        <v>70.401200257976797</v>
      </c>
    </row>
    <row r="411" spans="1:12">
      <c r="A411" t="s">
        <v>629</v>
      </c>
      <c r="B411">
        <v>10410</v>
      </c>
      <c r="C411" s="83">
        <v>770.84000000000015</v>
      </c>
      <c r="D411" s="83">
        <v>50.45192965287724</v>
      </c>
      <c r="E411" s="83">
        <v>75.59954934899261</v>
      </c>
      <c r="F411">
        <v>5</v>
      </c>
      <c r="G411" s="83">
        <v>8.4840000611599251</v>
      </c>
      <c r="H411" s="83">
        <v>8.5197032553499987</v>
      </c>
      <c r="I411" s="83">
        <v>639.3400000000006</v>
      </c>
      <c r="J411" s="83">
        <v>32.464026100308061</v>
      </c>
      <c r="K411" s="83">
        <v>2.4327999756720002</v>
      </c>
      <c r="L411" s="83">
        <v>76.01290025586799</v>
      </c>
    </row>
    <row r="412" spans="1:12">
      <c r="A412" t="s">
        <v>630</v>
      </c>
      <c r="B412">
        <v>10411</v>
      </c>
      <c r="C412" s="83">
        <v>739.39000000000021</v>
      </c>
      <c r="D412" s="83">
        <v>60.455158526022068</v>
      </c>
      <c r="E412" s="83">
        <v>28.719764619529982</v>
      </c>
      <c r="F412">
        <v>7</v>
      </c>
      <c r="G412" s="83">
        <v>14.649626102870771</v>
      </c>
      <c r="H412" s="83">
        <v>6.3821694865899996</v>
      </c>
      <c r="I412" s="83">
        <v>659.65000000000077</v>
      </c>
      <c r="J412" s="83">
        <v>50.284016510402452</v>
      </c>
      <c r="K412" s="83">
        <v>5.4457210646034353</v>
      </c>
      <c r="L412" s="83">
        <v>28.846038655781619</v>
      </c>
    </row>
    <row r="413" spans="1:12">
      <c r="A413" t="s">
        <v>631</v>
      </c>
      <c r="B413">
        <v>10412</v>
      </c>
      <c r="C413" s="83">
        <v>683.61000000000024</v>
      </c>
      <c r="D413" s="83">
        <v>60.433002660852054</v>
      </c>
      <c r="E413" s="83">
        <v>35.113990658545255</v>
      </c>
      <c r="F413">
        <v>7</v>
      </c>
      <c r="G413" s="83">
        <v>24.990219878815026</v>
      </c>
      <c r="H413" s="83">
        <v>6.1664451488199994</v>
      </c>
      <c r="I413" s="83">
        <v>659.65000000000077</v>
      </c>
      <c r="J413" s="83">
        <v>10.962550920073074</v>
      </c>
      <c r="K413" s="83">
        <v>4.0462465652376034</v>
      </c>
      <c r="L413" s="83">
        <v>38.649382855553966</v>
      </c>
    </row>
    <row r="414" spans="1:12">
      <c r="A414" t="s">
        <v>632</v>
      </c>
      <c r="B414">
        <v>10413</v>
      </c>
      <c r="C414" s="83">
        <v>666.87000000000057</v>
      </c>
      <c r="D414" s="83">
        <v>35.999775894915473</v>
      </c>
      <c r="E414" s="83">
        <v>65.351376128571729</v>
      </c>
      <c r="F414">
        <v>7</v>
      </c>
      <c r="G414" s="83">
        <v>8.3741156888679154</v>
      </c>
      <c r="H414" s="83">
        <v>8.3317637475200002</v>
      </c>
      <c r="I414" s="83">
        <v>680.87000000000046</v>
      </c>
      <c r="J414" s="83">
        <v>46.740195258167716</v>
      </c>
      <c r="K414" s="83">
        <v>10.553982809623434</v>
      </c>
      <c r="L414" s="83">
        <v>62.534387014607304</v>
      </c>
    </row>
    <row r="415" spans="1:12">
      <c r="A415" t="s">
        <v>633</v>
      </c>
      <c r="B415">
        <v>10414</v>
      </c>
      <c r="C415" s="83">
        <v>661.73000000000025</v>
      </c>
      <c r="D415" s="83">
        <v>25.954430451246242</v>
      </c>
      <c r="E415" s="83">
        <v>72.068786461313877</v>
      </c>
      <c r="F415">
        <v>7</v>
      </c>
      <c r="G415" s="83">
        <v>11.128929471620836</v>
      </c>
      <c r="H415" s="83">
        <v>9.3389431501599987</v>
      </c>
      <c r="I415" s="83">
        <v>680.87000000000046</v>
      </c>
      <c r="J415" s="83">
        <v>30.674293767182032</v>
      </c>
      <c r="K415" s="83">
        <v>0.78402493759775305</v>
      </c>
      <c r="L415" s="83">
        <v>75.872552050344083</v>
      </c>
    </row>
    <row r="416" spans="1:12">
      <c r="A416" t="s">
        <v>634</v>
      </c>
      <c r="B416">
        <v>10415</v>
      </c>
      <c r="C416" s="83">
        <v>692.59000000000049</v>
      </c>
      <c r="D416" s="83">
        <v>71.07764344661912</v>
      </c>
      <c r="E416" s="83">
        <v>58.228571262642433</v>
      </c>
      <c r="F416">
        <v>7</v>
      </c>
      <c r="G416" s="83">
        <v>13.45260961309789</v>
      </c>
      <c r="H416" s="83">
        <v>5.8548837970399994</v>
      </c>
      <c r="I416" s="83">
        <v>673.19000000000074</v>
      </c>
      <c r="J416" s="83">
        <v>3.268428480273748</v>
      </c>
      <c r="K416" s="83">
        <v>16.285620091680414</v>
      </c>
      <c r="L416" s="83">
        <v>49.441895415731999</v>
      </c>
    </row>
    <row r="417" spans="1:12">
      <c r="A417" t="s">
        <v>635</v>
      </c>
      <c r="B417">
        <v>10416</v>
      </c>
      <c r="C417" s="83">
        <v>693.36000000000047</v>
      </c>
      <c r="D417" s="83">
        <v>18.634546217114128</v>
      </c>
      <c r="E417" s="83">
        <v>77.832351510760418</v>
      </c>
      <c r="F417">
        <v>7</v>
      </c>
      <c r="G417" s="83">
        <v>8.4321647925103882</v>
      </c>
      <c r="H417" s="83">
        <v>10.7292589268</v>
      </c>
      <c r="I417" s="83">
        <v>661.60000000000048</v>
      </c>
      <c r="J417" s="83">
        <v>6.7175341588281219</v>
      </c>
      <c r="K417" s="83">
        <v>2.5229117418897493</v>
      </c>
      <c r="L417" s="83">
        <v>79.225989134501404</v>
      </c>
    </row>
    <row r="418" spans="1:12">
      <c r="A418" t="s">
        <v>636</v>
      </c>
      <c r="B418">
        <v>10417</v>
      </c>
      <c r="C418" s="83">
        <v>718.72000000000037</v>
      </c>
      <c r="D418" s="83">
        <v>13.291441068160907</v>
      </c>
      <c r="E418" s="83">
        <v>69.05923486072939</v>
      </c>
      <c r="F418">
        <v>7</v>
      </c>
      <c r="G418" s="83">
        <v>12.593650397288839</v>
      </c>
      <c r="H418" s="83">
        <v>11.542287718200001</v>
      </c>
      <c r="I418" s="83">
        <v>661.60000000000048</v>
      </c>
      <c r="J418" s="83">
        <v>85.977169965535097</v>
      </c>
      <c r="K418" s="83">
        <v>1.2395574342284392</v>
      </c>
      <c r="L418" s="83">
        <v>71.804118432531766</v>
      </c>
    </row>
    <row r="419" spans="1:12">
      <c r="A419" t="s">
        <v>637</v>
      </c>
      <c r="B419">
        <v>10418</v>
      </c>
      <c r="C419" s="83">
        <v>737.63000000000068</v>
      </c>
      <c r="D419" s="83">
        <v>37.373935688911587</v>
      </c>
      <c r="E419" s="83">
        <v>66.960800352273949</v>
      </c>
      <c r="F419">
        <v>7</v>
      </c>
      <c r="G419" s="83">
        <v>13.848200495948189</v>
      </c>
      <c r="H419" s="83">
        <v>9.7338626794599996</v>
      </c>
      <c r="I419" s="83">
        <v>658.4800000000007</v>
      </c>
      <c r="J419" s="83">
        <v>58.904986832505735</v>
      </c>
      <c r="K419" s="83">
        <v>2.2019999779799999</v>
      </c>
      <c r="L419" s="83">
        <v>70.318099036821195</v>
      </c>
    </row>
    <row r="420" spans="1:12">
      <c r="A420" t="s">
        <v>638</v>
      </c>
      <c r="B420">
        <v>10419</v>
      </c>
      <c r="C420" s="83">
        <v>743.76000000000045</v>
      </c>
      <c r="D420" s="83">
        <v>11.489781421568049</v>
      </c>
      <c r="E420" s="83">
        <v>68.152617760002741</v>
      </c>
      <c r="F420">
        <v>7</v>
      </c>
      <c r="G420" s="83">
        <v>9.0078999765254277</v>
      </c>
      <c r="H420" s="83">
        <v>11.025290053500001</v>
      </c>
      <c r="I420" s="83">
        <v>658.4800000000007</v>
      </c>
      <c r="J420" s="83">
        <v>63.332566513179543</v>
      </c>
      <c r="K420" s="83">
        <v>1.9665998820040071</v>
      </c>
      <c r="L420" s="83">
        <v>70.561999761277491</v>
      </c>
    </row>
    <row r="421" spans="1:12">
      <c r="A421" t="s">
        <v>639</v>
      </c>
      <c r="B421">
        <v>10420</v>
      </c>
      <c r="C421" s="83">
        <v>774.35000000000036</v>
      </c>
      <c r="D421" s="83">
        <v>9.436868613422801</v>
      </c>
      <c r="E421" s="83">
        <v>68.633611913786964</v>
      </c>
      <c r="F421">
        <v>7</v>
      </c>
      <c r="G421" s="83">
        <v>7.560199720398356</v>
      </c>
      <c r="H421" s="83">
        <v>11.5265764231</v>
      </c>
      <c r="I421" s="83">
        <v>657.43000000000052</v>
      </c>
      <c r="J421" s="83">
        <v>64.26122483397107</v>
      </c>
      <c r="K421" s="83">
        <v>1.1547999884519999</v>
      </c>
      <c r="L421" s="83">
        <v>71.021299843783439</v>
      </c>
    </row>
    <row r="422" spans="1:12">
      <c r="A422" t="s">
        <v>640</v>
      </c>
      <c r="B422">
        <v>10421</v>
      </c>
      <c r="C422" s="83">
        <v>795.27000000000021</v>
      </c>
      <c r="D422" s="83">
        <v>12.154222844156227</v>
      </c>
      <c r="E422" s="83">
        <v>43.294560022055634</v>
      </c>
      <c r="F422">
        <v>7</v>
      </c>
      <c r="G422" s="83">
        <v>26.412987244402569</v>
      </c>
      <c r="H422" s="83">
        <v>11.350350958</v>
      </c>
      <c r="I422" s="83">
        <v>657.43000000000052</v>
      </c>
      <c r="J422" s="83">
        <v>7.2931695768302811</v>
      </c>
      <c r="K422" s="83">
        <v>2.2535254718211695</v>
      </c>
      <c r="L422" s="83">
        <v>47.323368879380936</v>
      </c>
    </row>
    <row r="423" spans="1:12">
      <c r="A423" t="s">
        <v>641</v>
      </c>
      <c r="B423">
        <v>10422</v>
      </c>
      <c r="C423" s="83">
        <v>762.3000000000003</v>
      </c>
      <c r="D423" s="83">
        <v>11.726125126839722</v>
      </c>
      <c r="E423" s="83">
        <v>66.708501675062905</v>
      </c>
      <c r="F423">
        <v>7</v>
      </c>
      <c r="G423" s="83">
        <v>10.891501528654192</v>
      </c>
      <c r="H423" s="83">
        <v>11.6485819635</v>
      </c>
      <c r="I423" s="83">
        <v>653.99000000000046</v>
      </c>
      <c r="J423" s="83">
        <v>18.727756349332598</v>
      </c>
      <c r="K423" s="83">
        <v>2.1146420480878589</v>
      </c>
      <c r="L423" s="83">
        <v>67.543903149700171</v>
      </c>
    </row>
    <row r="424" spans="1:12">
      <c r="A424" t="s">
        <v>642</v>
      </c>
      <c r="B424">
        <v>10423</v>
      </c>
      <c r="C424" s="83">
        <v>736.12000000000046</v>
      </c>
      <c r="D424" s="83">
        <v>13.471846852745841</v>
      </c>
      <c r="E424" s="83">
        <v>72.915414701702304</v>
      </c>
      <c r="F424">
        <v>7</v>
      </c>
      <c r="G424" s="83">
        <v>9.1512636332175212</v>
      </c>
      <c r="H424" s="83">
        <v>12.0833522457</v>
      </c>
      <c r="I424" s="83">
        <v>653.99000000000046</v>
      </c>
      <c r="J424" s="83">
        <v>3.7304739646939158</v>
      </c>
      <c r="K424" s="83">
        <v>5.2486131030894168</v>
      </c>
      <c r="L424" s="83">
        <v>70.488705946811578</v>
      </c>
    </row>
    <row r="425" spans="1:12">
      <c r="A425" t="s">
        <v>643</v>
      </c>
      <c r="B425">
        <v>10424</v>
      </c>
      <c r="C425" s="83">
        <v>730.06000000000029</v>
      </c>
      <c r="D425" s="83">
        <v>20.763636128685317</v>
      </c>
      <c r="E425" s="83">
        <v>73.327427963115511</v>
      </c>
      <c r="F425">
        <v>7</v>
      </c>
      <c r="G425" s="83">
        <v>11.129008334264981</v>
      </c>
      <c r="H425" s="83">
        <v>11.1368529733</v>
      </c>
      <c r="I425" s="83">
        <v>664.41000000000054</v>
      </c>
      <c r="J425" s="83">
        <v>3.5087328082289981</v>
      </c>
      <c r="K425" s="83">
        <v>4.7073268157258754</v>
      </c>
      <c r="L425" s="83">
        <v>72.069033253323468</v>
      </c>
    </row>
    <row r="426" spans="1:12">
      <c r="A426" t="s">
        <v>644</v>
      </c>
      <c r="B426">
        <v>10425</v>
      </c>
      <c r="C426" s="83">
        <v>718.61000000000013</v>
      </c>
      <c r="D426" s="83">
        <v>22.895580067602857</v>
      </c>
      <c r="E426" s="83">
        <v>61.973760565365765</v>
      </c>
      <c r="F426">
        <v>7</v>
      </c>
      <c r="G426" s="83">
        <v>9.624743836937153</v>
      </c>
      <c r="H426" s="83">
        <v>12.009720118400001</v>
      </c>
      <c r="I426" s="83">
        <v>664.41000000000054</v>
      </c>
      <c r="J426" s="83">
        <v>11.29471149836308</v>
      </c>
      <c r="K426" s="83">
        <v>15.777696826059145</v>
      </c>
      <c r="L426" s="83">
        <v>46.400065276576576</v>
      </c>
    </row>
    <row r="427" spans="1:12">
      <c r="A427" t="s">
        <v>645</v>
      </c>
      <c r="B427">
        <v>10426</v>
      </c>
      <c r="C427" s="83">
        <v>790.35000000000025</v>
      </c>
      <c r="D427" s="83">
        <v>67.165501334603761</v>
      </c>
      <c r="E427" s="83">
        <v>7.7401039663146403</v>
      </c>
      <c r="F427">
        <v>2</v>
      </c>
      <c r="G427" s="83">
        <v>12.598306538309657</v>
      </c>
      <c r="H427" s="83">
        <v>2.9284518954999998</v>
      </c>
      <c r="I427" s="83">
        <v>660.30000000000075</v>
      </c>
      <c r="J427" s="83">
        <v>0</v>
      </c>
      <c r="K427" s="83">
        <v>18.054017294842609</v>
      </c>
      <c r="L427" s="83">
        <v>9.8578505635521037</v>
      </c>
    </row>
    <row r="428" spans="1:12">
      <c r="A428" t="s">
        <v>646</v>
      </c>
      <c r="B428">
        <v>10427</v>
      </c>
      <c r="C428" s="83">
        <v>790.84000000000026</v>
      </c>
      <c r="D428" s="83">
        <v>66.23591238458792</v>
      </c>
      <c r="E428" s="83">
        <v>37.269175234435885</v>
      </c>
      <c r="F428">
        <v>2</v>
      </c>
      <c r="G428" s="83">
        <v>8.0320220988760234</v>
      </c>
      <c r="H428" s="83">
        <v>2.2977907170999998</v>
      </c>
      <c r="I428" s="83">
        <v>660.30000000000075</v>
      </c>
      <c r="J428" s="83">
        <v>0</v>
      </c>
      <c r="K428" s="83">
        <v>34.061241128616018</v>
      </c>
      <c r="L428" s="83">
        <v>33.051551571765991</v>
      </c>
    </row>
    <row r="429" spans="1:12">
      <c r="A429" t="s">
        <v>647</v>
      </c>
      <c r="B429">
        <v>10428</v>
      </c>
      <c r="C429" s="83">
        <v>742.35000000000014</v>
      </c>
      <c r="D429" s="83">
        <v>38.451624616194437</v>
      </c>
      <c r="E429" s="83">
        <v>58.41962721894452</v>
      </c>
      <c r="F429">
        <v>5</v>
      </c>
      <c r="G429" s="83">
        <v>10.670418671583954</v>
      </c>
      <c r="H429" s="83">
        <v>8.3043306043599987</v>
      </c>
      <c r="I429" s="83">
        <v>651.04000000000065</v>
      </c>
      <c r="J429" s="83">
        <v>68.965831811010688</v>
      </c>
      <c r="K429" s="83">
        <v>1.8065979917870865</v>
      </c>
      <c r="L429" s="83">
        <v>58.468897835783793</v>
      </c>
    </row>
    <row r="430" spans="1:12">
      <c r="A430" t="s">
        <v>648</v>
      </c>
      <c r="B430">
        <v>10429</v>
      </c>
      <c r="C430" s="83">
        <v>748.26</v>
      </c>
      <c r="D430" s="83">
        <v>63.755368869687075</v>
      </c>
      <c r="E430" s="83">
        <v>66.149527177150702</v>
      </c>
      <c r="F430">
        <v>5</v>
      </c>
      <c r="G430" s="83">
        <v>17.264022160494456</v>
      </c>
      <c r="H430" s="83">
        <v>6.5469993202799994</v>
      </c>
      <c r="I430" s="83">
        <v>639.3400000000006</v>
      </c>
      <c r="J430" s="83">
        <v>42.983280634446153</v>
      </c>
      <c r="K430" s="83">
        <v>1.980999748266886</v>
      </c>
      <c r="L430" s="83">
        <v>66.849488450133947</v>
      </c>
    </row>
    <row r="431" spans="1:12">
      <c r="A431" t="s">
        <v>649</v>
      </c>
      <c r="B431">
        <v>10430</v>
      </c>
      <c r="C431" s="83">
        <v>745.09</v>
      </c>
      <c r="D431" s="83">
        <v>45.663068399016687</v>
      </c>
      <c r="E431" s="83">
        <v>65.779221377707131</v>
      </c>
      <c r="F431">
        <v>5</v>
      </c>
      <c r="G431" s="83">
        <v>8.4465640248940463</v>
      </c>
      <c r="H431" s="83">
        <v>7.1359962691999996</v>
      </c>
      <c r="I431" s="83">
        <v>639.3400000000006</v>
      </c>
      <c r="J431" s="83">
        <v>45.427963531055248</v>
      </c>
      <c r="K431" s="83">
        <v>1.2870327965087378</v>
      </c>
      <c r="L431" s="83">
        <v>68.953471773922729</v>
      </c>
    </row>
    <row r="432" spans="1:12">
      <c r="A432" t="s">
        <v>650</v>
      </c>
      <c r="B432">
        <v>10431</v>
      </c>
      <c r="C432" s="83">
        <v>725.77000000000032</v>
      </c>
      <c r="D432" s="83">
        <v>28.337798463008593</v>
      </c>
      <c r="E432" s="83">
        <v>52.093661982933384</v>
      </c>
      <c r="F432">
        <v>7</v>
      </c>
      <c r="G432" s="83">
        <v>6.862688358653898</v>
      </c>
      <c r="H432" s="83">
        <v>8.2359419754199994</v>
      </c>
      <c r="I432" s="83">
        <v>659.65000000000077</v>
      </c>
      <c r="J432" s="83">
        <v>47.987501357636795</v>
      </c>
      <c r="K432" s="83">
        <v>5.8537002843193688</v>
      </c>
      <c r="L432" s="83">
        <v>53.184628444165661</v>
      </c>
    </row>
    <row r="433" spans="1:12">
      <c r="A433" t="s">
        <v>651</v>
      </c>
      <c r="B433">
        <v>10432</v>
      </c>
      <c r="C433" s="83">
        <v>681.60000000000025</v>
      </c>
      <c r="D433" s="83">
        <v>12.924181217826536</v>
      </c>
      <c r="E433" s="83">
        <v>6.4916872983611089</v>
      </c>
      <c r="F433">
        <v>7</v>
      </c>
      <c r="G433" s="83">
        <v>3.0641169183051176</v>
      </c>
      <c r="H433" s="83">
        <v>11.081057618100001</v>
      </c>
      <c r="I433" s="83">
        <v>661.60000000000048</v>
      </c>
      <c r="J433" s="83">
        <v>1.3960300603057936</v>
      </c>
      <c r="K433" s="83">
        <v>17.72273521873695</v>
      </c>
      <c r="L433" s="83">
        <v>7.2702442182378979</v>
      </c>
    </row>
    <row r="434" spans="1:12">
      <c r="A434" t="s">
        <v>652</v>
      </c>
      <c r="B434">
        <v>10433</v>
      </c>
      <c r="C434" s="83">
        <v>700.07000000000028</v>
      </c>
      <c r="D434" s="83">
        <v>6.3254773429895561</v>
      </c>
      <c r="E434" s="83">
        <v>59.14250114615821</v>
      </c>
      <c r="F434">
        <v>7</v>
      </c>
      <c r="G434" s="83">
        <v>8.2510001033972848</v>
      </c>
      <c r="H434" s="83">
        <v>11.309265509000001</v>
      </c>
      <c r="I434" s="83">
        <v>661.60000000000048</v>
      </c>
      <c r="J434" s="83">
        <v>0</v>
      </c>
      <c r="K434" s="83">
        <v>0.62340873830339927</v>
      </c>
      <c r="L434" s="83">
        <v>61.679887391648499</v>
      </c>
    </row>
    <row r="435" spans="1:12">
      <c r="A435" t="s">
        <v>653</v>
      </c>
      <c r="B435">
        <v>10434</v>
      </c>
      <c r="C435" s="83">
        <v>716.86000000000035</v>
      </c>
      <c r="D435" s="83">
        <v>27.082766703649128</v>
      </c>
      <c r="E435" s="83">
        <v>49.73740064711707</v>
      </c>
      <c r="F435">
        <v>7</v>
      </c>
      <c r="G435" s="83">
        <v>26.56473286715504</v>
      </c>
      <c r="H435" s="83">
        <v>9.8562388153999994</v>
      </c>
      <c r="I435" s="83">
        <v>658.4800000000007</v>
      </c>
      <c r="J435" s="83">
        <v>1.5885150276792701</v>
      </c>
      <c r="K435" s="83">
        <v>2.4100410531792504</v>
      </c>
      <c r="L435" s="83">
        <v>51.009201733989116</v>
      </c>
    </row>
    <row r="436" spans="1:12">
      <c r="A436" t="s">
        <v>654</v>
      </c>
      <c r="B436">
        <v>10435</v>
      </c>
      <c r="C436" s="83">
        <v>727.99000000000046</v>
      </c>
      <c r="D436" s="83">
        <v>11.70207671358787</v>
      </c>
      <c r="E436" s="83">
        <v>63.003277833591206</v>
      </c>
      <c r="F436">
        <v>7</v>
      </c>
      <c r="G436" s="83">
        <v>8.9383294292310609</v>
      </c>
      <c r="H436" s="83">
        <v>11.6036613351</v>
      </c>
      <c r="I436" s="83">
        <v>658.4800000000007</v>
      </c>
      <c r="J436" s="83">
        <v>1.9988398312100135</v>
      </c>
      <c r="K436" s="83">
        <v>4.5938062626151215</v>
      </c>
      <c r="L436" s="83">
        <v>65.166605100291221</v>
      </c>
    </row>
    <row r="437" spans="1:12">
      <c r="A437" t="s">
        <v>655</v>
      </c>
      <c r="B437">
        <v>10436</v>
      </c>
      <c r="C437" s="83">
        <v>754.1900000000004</v>
      </c>
      <c r="D437" s="83">
        <v>5.3927008719445109</v>
      </c>
      <c r="E437" s="83">
        <v>68.122452215957665</v>
      </c>
      <c r="F437">
        <v>7</v>
      </c>
      <c r="G437" s="83">
        <v>9.7253394729749516</v>
      </c>
      <c r="H437" s="83">
        <v>11.776842350400001</v>
      </c>
      <c r="I437" s="83">
        <v>657.43000000000052</v>
      </c>
      <c r="J437" s="83">
        <v>2.4827878653200877</v>
      </c>
      <c r="K437" s="83">
        <v>2.4563849495605807</v>
      </c>
      <c r="L437" s="83">
        <v>72.096380243576661</v>
      </c>
    </row>
    <row r="438" spans="1:12">
      <c r="A438" t="s">
        <v>656</v>
      </c>
      <c r="B438">
        <v>10437</v>
      </c>
      <c r="C438" s="83">
        <v>759.50000000000023</v>
      </c>
      <c r="D438" s="83">
        <v>1.4526234897696269</v>
      </c>
      <c r="E438" s="83">
        <v>75.048529729277178</v>
      </c>
      <c r="F438">
        <v>7</v>
      </c>
      <c r="G438" s="83">
        <v>8.3709935327654819</v>
      </c>
      <c r="H438" s="83">
        <v>12.5508697704</v>
      </c>
      <c r="I438" s="83">
        <v>657.43000000000052</v>
      </c>
      <c r="J438" s="83">
        <v>0.47540291746621577</v>
      </c>
      <c r="K438" s="83">
        <v>3.0582698884078292</v>
      </c>
      <c r="L438" s="83">
        <v>76.717526292592368</v>
      </c>
    </row>
    <row r="439" spans="1:12">
      <c r="A439" t="s">
        <v>657</v>
      </c>
      <c r="B439">
        <v>10438</v>
      </c>
      <c r="C439" s="83">
        <v>729.71000000000038</v>
      </c>
      <c r="D439" s="83">
        <v>7.8839272601074253</v>
      </c>
      <c r="E439" s="83">
        <v>63.846919282112239</v>
      </c>
      <c r="F439">
        <v>7</v>
      </c>
      <c r="G439" s="83">
        <v>9.6124945574550829</v>
      </c>
      <c r="H439" s="83">
        <v>11.785240677400001</v>
      </c>
      <c r="I439" s="83">
        <v>653.99000000000046</v>
      </c>
      <c r="J439" s="83">
        <v>2.5237173273618003</v>
      </c>
      <c r="K439" s="83">
        <v>3.3245931616669222</v>
      </c>
      <c r="L439" s="83">
        <v>66.465561921173304</v>
      </c>
    </row>
    <row r="440" spans="1:12">
      <c r="A440" t="s">
        <v>658</v>
      </c>
      <c r="B440">
        <v>10439</v>
      </c>
      <c r="C440" s="83">
        <v>722.62000000000012</v>
      </c>
      <c r="D440" s="83">
        <v>9.2643042728817946</v>
      </c>
      <c r="E440" s="83">
        <v>72.039894575479352</v>
      </c>
      <c r="F440">
        <v>7</v>
      </c>
      <c r="G440" s="83">
        <v>11.70796173677186</v>
      </c>
      <c r="H440" s="83">
        <v>12.4818606935</v>
      </c>
      <c r="I440" s="83">
        <v>653.99000000000046</v>
      </c>
      <c r="J440" s="83">
        <v>4.9529787288166096</v>
      </c>
      <c r="K440" s="83">
        <v>2.8629176331455879</v>
      </c>
      <c r="L440" s="83">
        <v>72.875098982578365</v>
      </c>
    </row>
    <row r="441" spans="1:12">
      <c r="A441" t="s">
        <v>659</v>
      </c>
      <c r="B441">
        <v>10440</v>
      </c>
      <c r="C441" s="83">
        <v>720.55000000000041</v>
      </c>
      <c r="D441" s="83">
        <v>4.838837275446827</v>
      </c>
      <c r="E441" s="83">
        <v>72.437501690108377</v>
      </c>
      <c r="F441">
        <v>7</v>
      </c>
      <c r="G441" s="83">
        <v>7.5615962890149602</v>
      </c>
      <c r="H441" s="83">
        <v>14.771596434200001</v>
      </c>
      <c r="I441" s="83">
        <v>664.41000000000054</v>
      </c>
      <c r="J441" s="83">
        <v>0.81715051176326925</v>
      </c>
      <c r="K441" s="83">
        <v>3.3313845675019356</v>
      </c>
      <c r="L441" s="83">
        <v>72.644310180583034</v>
      </c>
    </row>
    <row r="442" spans="1:12">
      <c r="A442" t="s">
        <v>660</v>
      </c>
      <c r="B442">
        <v>10441</v>
      </c>
      <c r="C442" s="83">
        <v>716.22</v>
      </c>
      <c r="D442" s="83">
        <v>3.1016614320691622</v>
      </c>
      <c r="E442" s="83">
        <v>73.652953634930768</v>
      </c>
      <c r="F442">
        <v>7</v>
      </c>
      <c r="G442" s="83">
        <v>6.8883997499190199</v>
      </c>
      <c r="H442" s="83">
        <v>15.996899298000001</v>
      </c>
      <c r="I442" s="83">
        <v>664.41000000000054</v>
      </c>
      <c r="J442" s="83">
        <v>0</v>
      </c>
      <c r="K442" s="83">
        <v>6.513665100596298</v>
      </c>
      <c r="L442" s="83">
        <v>74.050767549031576</v>
      </c>
    </row>
    <row r="443" spans="1:12">
      <c r="A443" t="s">
        <v>661</v>
      </c>
      <c r="B443">
        <v>10442</v>
      </c>
      <c r="C443" s="83">
        <v>783.9000000000002</v>
      </c>
      <c r="D443" s="83">
        <v>81.467114144705221</v>
      </c>
      <c r="E443" s="83">
        <v>11.255197121858206</v>
      </c>
      <c r="F443">
        <v>2</v>
      </c>
      <c r="G443" s="83">
        <v>7.9390700084747108</v>
      </c>
      <c r="H443" s="83">
        <v>2.41794249833</v>
      </c>
      <c r="I443" s="83">
        <v>660.30000000000075</v>
      </c>
      <c r="J443" s="83">
        <v>0</v>
      </c>
      <c r="K443" s="83">
        <v>13.270623408327396</v>
      </c>
      <c r="L443" s="83">
        <v>15.980861210280722</v>
      </c>
    </row>
    <row r="444" spans="1:12">
      <c r="A444" t="s">
        <v>662</v>
      </c>
      <c r="B444">
        <v>10443</v>
      </c>
      <c r="C444" s="83">
        <v>784.55000000000018</v>
      </c>
      <c r="D444" s="83">
        <v>68.760537872374016</v>
      </c>
      <c r="E444" s="83">
        <v>30.549945630218058</v>
      </c>
      <c r="F444">
        <v>2</v>
      </c>
      <c r="G444" s="83">
        <v>7.8640419834287343</v>
      </c>
      <c r="H444" s="83">
        <v>2.5979744060199996</v>
      </c>
      <c r="I444" s="83">
        <v>660.30000000000075</v>
      </c>
      <c r="J444" s="83">
        <v>0</v>
      </c>
      <c r="K444" s="83">
        <v>40.149103570463076</v>
      </c>
      <c r="L444" s="83">
        <v>33.254413222767433</v>
      </c>
    </row>
    <row r="445" spans="1:12">
      <c r="A445" t="s">
        <v>663</v>
      </c>
      <c r="B445">
        <v>10444</v>
      </c>
      <c r="C445" s="83">
        <v>675.56000000000006</v>
      </c>
      <c r="D445" s="83">
        <v>37.505301446856528</v>
      </c>
      <c r="E445" s="83">
        <v>53.112023442863673</v>
      </c>
      <c r="F445">
        <v>7</v>
      </c>
      <c r="G445" s="83">
        <v>20.015076542921879</v>
      </c>
      <c r="H445" s="83">
        <v>12.2886361443</v>
      </c>
      <c r="I445" s="83">
        <v>666.29000000000053</v>
      </c>
      <c r="J445" s="83">
        <v>16.450191650237674</v>
      </c>
      <c r="K445" s="83">
        <v>4.1963488207964836</v>
      </c>
      <c r="L445" s="83">
        <v>56.373612986711251</v>
      </c>
    </row>
    <row r="446" spans="1:12">
      <c r="A446" t="s">
        <v>664</v>
      </c>
      <c r="B446">
        <v>10445</v>
      </c>
      <c r="C446" s="83">
        <v>719.07000000000039</v>
      </c>
      <c r="D446" s="83">
        <v>11.443770785626354</v>
      </c>
      <c r="E446" s="83">
        <v>38.045082081942915</v>
      </c>
      <c r="F446">
        <v>7</v>
      </c>
      <c r="G446" s="83">
        <v>15.505955767080726</v>
      </c>
      <c r="H446" s="83">
        <v>10.7207954165</v>
      </c>
      <c r="I446" s="83">
        <v>663.54000000000042</v>
      </c>
      <c r="J446" s="83">
        <v>23.161688167879948</v>
      </c>
      <c r="K446" s="83">
        <v>2.8101835933646973</v>
      </c>
      <c r="L446" s="83">
        <v>40.679592687172111</v>
      </c>
    </row>
    <row r="447" spans="1:12">
      <c r="A447" t="s">
        <v>665</v>
      </c>
      <c r="B447">
        <v>10446</v>
      </c>
      <c r="C447" s="83">
        <v>732.10000000000048</v>
      </c>
      <c r="D447" s="83">
        <v>2.454670522199097</v>
      </c>
      <c r="E447" s="83">
        <v>71.536765547504785</v>
      </c>
      <c r="F447">
        <v>7</v>
      </c>
      <c r="G447" s="83">
        <v>10.518628022324902</v>
      </c>
      <c r="H447" s="83">
        <v>13.9574811129</v>
      </c>
      <c r="I447" s="83">
        <v>663.54000000000042</v>
      </c>
      <c r="J447" s="83">
        <v>2.3835437061117566</v>
      </c>
      <c r="K447" s="83">
        <v>2.2122076327405042</v>
      </c>
      <c r="L447" s="83">
        <v>74.836032270236387</v>
      </c>
    </row>
    <row r="448" spans="1:12">
      <c r="A448" t="s">
        <v>666</v>
      </c>
      <c r="B448">
        <v>10447</v>
      </c>
      <c r="C448" s="83">
        <v>727.85000000000048</v>
      </c>
      <c r="D448" s="83">
        <v>1.0345305637889846</v>
      </c>
      <c r="E448" s="83">
        <v>80.622227722022245</v>
      </c>
      <c r="F448">
        <v>7</v>
      </c>
      <c r="G448" s="83">
        <v>6.0071750444403964</v>
      </c>
      <c r="H448" s="83">
        <v>13.2493067633</v>
      </c>
      <c r="I448" s="83">
        <v>661.64000000000055</v>
      </c>
      <c r="J448" s="83">
        <v>0</v>
      </c>
      <c r="K448" s="83">
        <v>2.2470967000548439</v>
      </c>
      <c r="L448" s="83">
        <v>77.307015301800092</v>
      </c>
    </row>
    <row r="449" spans="1:12">
      <c r="A449" t="s">
        <v>667</v>
      </c>
      <c r="B449">
        <v>10448</v>
      </c>
      <c r="C449" s="83">
        <v>711.20000000000039</v>
      </c>
      <c r="D449" s="83">
        <v>1.3693119850892623</v>
      </c>
      <c r="E449" s="83">
        <v>50.559345158542207</v>
      </c>
      <c r="F449">
        <v>7</v>
      </c>
      <c r="G449" s="83">
        <v>2.7124291758929711</v>
      </c>
      <c r="H449" s="83">
        <v>15.7818985593</v>
      </c>
      <c r="I449" s="83">
        <v>661.64000000000055</v>
      </c>
      <c r="J449" s="83">
        <v>0</v>
      </c>
      <c r="K449" s="83">
        <v>14.760994610367387</v>
      </c>
      <c r="L449" s="83">
        <v>54.013150161626136</v>
      </c>
    </row>
    <row r="450" spans="1:12">
      <c r="A450" t="s">
        <v>668</v>
      </c>
      <c r="B450">
        <v>10449</v>
      </c>
      <c r="C450" s="83">
        <v>714.29000000000019</v>
      </c>
      <c r="D450" s="83">
        <v>29.722445303263015</v>
      </c>
      <c r="E450" s="83">
        <v>72.776904164037973</v>
      </c>
      <c r="F450">
        <v>7</v>
      </c>
      <c r="G450" s="83">
        <v>8.6032340718967628</v>
      </c>
      <c r="H450" s="83">
        <v>10.1038666464</v>
      </c>
      <c r="I450" s="83">
        <v>666.80000000000064</v>
      </c>
      <c r="J450" s="83">
        <v>3.6327427845205498</v>
      </c>
      <c r="K450" s="83">
        <v>13.719196701055891</v>
      </c>
      <c r="L450" s="83">
        <v>68.499373998070226</v>
      </c>
    </row>
    <row r="451" spans="1:12">
      <c r="A451" t="s">
        <v>669</v>
      </c>
      <c r="B451">
        <v>10450</v>
      </c>
      <c r="C451" s="83">
        <v>676.63000000000056</v>
      </c>
      <c r="D451" s="83">
        <v>35.137477826159284</v>
      </c>
      <c r="E451" s="83">
        <v>64.79051664498985</v>
      </c>
      <c r="F451">
        <v>7</v>
      </c>
      <c r="G451" s="83">
        <v>14.607609266698493</v>
      </c>
      <c r="H451" s="83">
        <v>7.6630463126499997</v>
      </c>
      <c r="I451" s="83">
        <v>672.03000000000054</v>
      </c>
      <c r="J451" s="83">
        <v>48.103432408410612</v>
      </c>
      <c r="K451" s="83">
        <v>3.9026822353260182</v>
      </c>
      <c r="L451" s="83">
        <v>68.362025090205279</v>
      </c>
    </row>
    <row r="452" spans="1:12">
      <c r="A452" t="s">
        <v>670</v>
      </c>
      <c r="B452">
        <v>10451</v>
      </c>
      <c r="C452" s="83">
        <v>683.69000000000028</v>
      </c>
      <c r="D452" s="83">
        <v>20.280716052264591</v>
      </c>
      <c r="E452" s="83">
        <v>46.769100481579116</v>
      </c>
      <c r="F452">
        <v>7</v>
      </c>
      <c r="G452" s="83">
        <v>16.527029934843533</v>
      </c>
      <c r="H452" s="83">
        <v>11.231095846200001</v>
      </c>
      <c r="I452" s="83">
        <v>666.29000000000053</v>
      </c>
      <c r="J452" s="83">
        <v>4.2359885204518788</v>
      </c>
      <c r="K452" s="83">
        <v>5.2887214172299917</v>
      </c>
      <c r="L452" s="83">
        <v>43.694517504315669</v>
      </c>
    </row>
    <row r="453" spans="1:12">
      <c r="A453" t="s">
        <v>671</v>
      </c>
      <c r="B453">
        <v>10452</v>
      </c>
      <c r="C453" s="83">
        <v>678.82000000000016</v>
      </c>
      <c r="D453" s="83">
        <v>2.4375540620831955</v>
      </c>
      <c r="E453" s="83">
        <v>76.420974356883619</v>
      </c>
      <c r="F453">
        <v>7</v>
      </c>
      <c r="G453" s="83">
        <v>14.638311239631793</v>
      </c>
      <c r="H453" s="83">
        <v>14.703719107300001</v>
      </c>
      <c r="I453" s="83">
        <v>666.29000000000053</v>
      </c>
      <c r="J453" s="83">
        <v>0</v>
      </c>
      <c r="K453" s="83">
        <v>1.7873010726083105</v>
      </c>
      <c r="L453" s="83">
        <v>79.694818330198686</v>
      </c>
    </row>
    <row r="454" spans="1:12">
      <c r="A454" t="s">
        <v>672</v>
      </c>
      <c r="B454">
        <v>10453</v>
      </c>
      <c r="C454" s="83">
        <v>669.22000000000025</v>
      </c>
      <c r="D454" s="83">
        <v>15.637205554285952</v>
      </c>
      <c r="E454" s="83">
        <v>72.261801722077152</v>
      </c>
      <c r="F454">
        <v>7</v>
      </c>
      <c r="G454" s="83">
        <v>15.320014872321384</v>
      </c>
      <c r="H454" s="83">
        <v>11.1750084099</v>
      </c>
      <c r="I454" s="83">
        <v>653.81000000000063</v>
      </c>
      <c r="J454" s="83">
        <v>0.21257672960032259</v>
      </c>
      <c r="K454" s="83">
        <v>5.9052891731014734</v>
      </c>
      <c r="L454" s="83">
        <v>67.258234700201157</v>
      </c>
    </row>
    <row r="455" spans="1:12">
      <c r="A455" t="s">
        <v>673</v>
      </c>
      <c r="B455">
        <v>10454</v>
      </c>
      <c r="C455" s="83">
        <v>677.01000000000033</v>
      </c>
      <c r="D455" s="83">
        <v>19.060629861257357</v>
      </c>
      <c r="E455" s="83">
        <v>38.372062343197612</v>
      </c>
      <c r="F455">
        <v>7</v>
      </c>
      <c r="G455" s="83">
        <v>45.459197087644249</v>
      </c>
      <c r="H455" s="83">
        <v>11.580920562600001</v>
      </c>
      <c r="I455" s="83">
        <v>653.81000000000063</v>
      </c>
      <c r="J455" s="83">
        <v>0</v>
      </c>
      <c r="K455" s="83">
        <v>8.2670209633230378</v>
      </c>
      <c r="L455" s="83">
        <v>37.156755965846138</v>
      </c>
    </row>
    <row r="456" spans="1:12">
      <c r="A456" t="s">
        <v>674</v>
      </c>
      <c r="B456">
        <v>10455</v>
      </c>
      <c r="C456" s="83">
        <v>662.00000000000011</v>
      </c>
      <c r="D456" s="83">
        <v>20.955056298058629</v>
      </c>
      <c r="E456" s="83">
        <v>41.033465313922733</v>
      </c>
      <c r="F456">
        <v>7</v>
      </c>
      <c r="G456" s="83">
        <v>28.539432617814875</v>
      </c>
      <c r="H456" s="83">
        <v>13.120153095000001</v>
      </c>
      <c r="I456" s="83">
        <v>653.33000000000061</v>
      </c>
      <c r="J456" s="83">
        <v>8.4181564377230261E-2</v>
      </c>
      <c r="K456" s="83">
        <v>3.5066401421597062</v>
      </c>
      <c r="L456" s="83">
        <v>39.7189137677708</v>
      </c>
    </row>
    <row r="457" spans="1:12">
      <c r="A457" t="s">
        <v>675</v>
      </c>
      <c r="B457">
        <v>10456</v>
      </c>
      <c r="C457" s="83">
        <v>664.2900000000003</v>
      </c>
      <c r="D457" s="83">
        <v>23.290362733916414</v>
      </c>
      <c r="E457" s="83">
        <v>71.221360753640354</v>
      </c>
      <c r="F457">
        <v>7</v>
      </c>
      <c r="G457" s="83">
        <v>9.8494617290335249</v>
      </c>
      <c r="H457" s="83">
        <v>10.2488477938</v>
      </c>
      <c r="I457" s="83">
        <v>653.33000000000061</v>
      </c>
      <c r="J457" s="83">
        <v>26.918835313948531</v>
      </c>
      <c r="K457" s="83">
        <v>8.2583909492280121</v>
      </c>
      <c r="L457" s="83">
        <v>55.857607827876123</v>
      </c>
    </row>
    <row r="458" spans="1:12">
      <c r="A458" t="s">
        <v>676</v>
      </c>
      <c r="B458">
        <v>10457</v>
      </c>
      <c r="C458" s="83">
        <v>676.18000000000018</v>
      </c>
      <c r="D458" s="83">
        <v>36.112604706817038</v>
      </c>
      <c r="E458" s="83">
        <v>61.44565882212919</v>
      </c>
      <c r="F458">
        <v>7</v>
      </c>
      <c r="G458" s="83">
        <v>10.371396945200994</v>
      </c>
      <c r="H458" s="83">
        <v>8.9442852958699994</v>
      </c>
      <c r="I458" s="83">
        <v>663.54000000000042</v>
      </c>
      <c r="J458" s="83">
        <v>30.094211359082617</v>
      </c>
      <c r="K458" s="83">
        <v>20.885386572834452</v>
      </c>
      <c r="L458" s="83">
        <v>55.289218137539095</v>
      </c>
    </row>
    <row r="459" spans="1:12">
      <c r="A459" t="s">
        <v>677</v>
      </c>
      <c r="B459">
        <v>10458</v>
      </c>
      <c r="C459" s="83">
        <v>702.1700000000003</v>
      </c>
      <c r="D459" s="83">
        <v>1.2503948733861476</v>
      </c>
      <c r="E459" s="83">
        <v>84.070676187566306</v>
      </c>
      <c r="F459">
        <v>7</v>
      </c>
      <c r="G459" s="83">
        <v>4.2816671469978038</v>
      </c>
      <c r="H459" s="83">
        <v>13.0463815783</v>
      </c>
      <c r="I459" s="83">
        <v>661.64000000000055</v>
      </c>
      <c r="J459" s="83">
        <v>0</v>
      </c>
      <c r="K459" s="83">
        <v>2.2819314139546476</v>
      </c>
      <c r="L459" s="83">
        <v>82.834700108733799</v>
      </c>
    </row>
    <row r="460" spans="1:12">
      <c r="A460" t="s">
        <v>678</v>
      </c>
      <c r="B460">
        <v>10459</v>
      </c>
      <c r="C460" s="83">
        <v>706.24000000000024</v>
      </c>
      <c r="D460" s="83">
        <v>0.50013224217747254</v>
      </c>
      <c r="E460" s="83">
        <v>87.727555825050217</v>
      </c>
      <c r="F460">
        <v>7</v>
      </c>
      <c r="G460" s="83">
        <v>5.9250106561549583</v>
      </c>
      <c r="H460" s="83">
        <v>17.685405382399999</v>
      </c>
      <c r="I460" s="83">
        <v>661.64000000000055</v>
      </c>
      <c r="J460" s="83">
        <v>0</v>
      </c>
      <c r="K460" s="83">
        <v>0.44998269639391603</v>
      </c>
      <c r="L460" s="83">
        <v>87.700006539103555</v>
      </c>
    </row>
    <row r="461" spans="1:12">
      <c r="A461" t="s">
        <v>679</v>
      </c>
      <c r="B461">
        <v>10460</v>
      </c>
      <c r="C461" s="83">
        <v>716.46</v>
      </c>
      <c r="D461" s="83">
        <v>9.3648257641707033</v>
      </c>
      <c r="E461" s="83">
        <v>75.987066715407309</v>
      </c>
      <c r="F461">
        <v>7</v>
      </c>
      <c r="G461" s="83">
        <v>14.397664514161708</v>
      </c>
      <c r="H461" s="83">
        <v>14.5143837707</v>
      </c>
      <c r="I461" s="83">
        <v>666.80000000000064</v>
      </c>
      <c r="J461" s="83">
        <v>2.1911835753680395</v>
      </c>
      <c r="K461" s="83">
        <v>1.4069538904777008</v>
      </c>
      <c r="L461" s="83">
        <v>75.79943169099586</v>
      </c>
    </row>
    <row r="462" spans="1:12">
      <c r="A462" t="s">
        <v>680</v>
      </c>
      <c r="B462">
        <v>10461</v>
      </c>
      <c r="C462" s="83">
        <v>702.91000000000031</v>
      </c>
      <c r="D462" s="83">
        <v>3.8983719017166041</v>
      </c>
      <c r="E462" s="83">
        <v>69.470234169329899</v>
      </c>
      <c r="F462">
        <v>7</v>
      </c>
      <c r="G462" s="83">
        <v>7.8293753716881147</v>
      </c>
      <c r="H462" s="83">
        <v>15.583313523600001</v>
      </c>
      <c r="I462" s="83">
        <v>666.80000000000064</v>
      </c>
      <c r="J462" s="83">
        <v>0.50973018451521646</v>
      </c>
      <c r="K462" s="83">
        <v>2.0718261378306297</v>
      </c>
      <c r="L462" s="83">
        <v>69.515312504758526</v>
      </c>
    </row>
    <row r="463" spans="1:12">
      <c r="A463" t="s">
        <v>681</v>
      </c>
      <c r="B463">
        <v>10462</v>
      </c>
      <c r="C463" s="83">
        <v>689.02000000000044</v>
      </c>
      <c r="D463" s="83">
        <v>1.8270443992160545</v>
      </c>
      <c r="E463" s="83">
        <v>41.248819605899833</v>
      </c>
      <c r="F463">
        <v>7</v>
      </c>
      <c r="G463" s="83">
        <v>36.391910758700604</v>
      </c>
      <c r="H463" s="83">
        <v>13.5521382014</v>
      </c>
      <c r="I463" s="83">
        <v>665.83000000000061</v>
      </c>
      <c r="J463" s="83">
        <v>0</v>
      </c>
      <c r="K463" s="83">
        <v>3.0516898489014812</v>
      </c>
      <c r="L463" s="83">
        <v>44.009526234965222</v>
      </c>
    </row>
    <row r="464" spans="1:12">
      <c r="A464" t="s">
        <v>682</v>
      </c>
      <c r="B464">
        <v>10463</v>
      </c>
      <c r="C464" s="83">
        <v>697.1800000000004</v>
      </c>
      <c r="D464" s="83">
        <v>45.679333725611201</v>
      </c>
      <c r="E464" s="83">
        <v>28.937882888903772</v>
      </c>
      <c r="F464">
        <v>7</v>
      </c>
      <c r="G464" s="83">
        <v>29.900007910019685</v>
      </c>
      <c r="H464" s="83">
        <v>8.6468553546799996</v>
      </c>
      <c r="I464" s="83">
        <v>660.02000000000055</v>
      </c>
      <c r="J464" s="83">
        <v>0</v>
      </c>
      <c r="K464" s="83">
        <v>26.942280093850858</v>
      </c>
      <c r="L464" s="83">
        <v>5.3831361842677232</v>
      </c>
    </row>
    <row r="465" spans="1:12">
      <c r="A465" t="s">
        <v>683</v>
      </c>
      <c r="B465">
        <v>10464</v>
      </c>
      <c r="C465" s="83">
        <v>690.00000000000045</v>
      </c>
      <c r="D465" s="83">
        <v>53.867607283262558</v>
      </c>
      <c r="E465" s="83">
        <v>47.558256820389964</v>
      </c>
      <c r="F465">
        <v>7</v>
      </c>
      <c r="G465" s="83">
        <v>20.803742214992468</v>
      </c>
      <c r="H465" s="83">
        <v>8.2493436228899988</v>
      </c>
      <c r="I465" s="83">
        <v>660.02000000000055</v>
      </c>
      <c r="J465" s="83">
        <v>82.308253963126475</v>
      </c>
      <c r="K465" s="83">
        <v>21.964528629092925</v>
      </c>
      <c r="L465" s="83">
        <v>42.83984620184426</v>
      </c>
    </row>
    <row r="466" spans="1:12">
      <c r="A466" t="s">
        <v>684</v>
      </c>
      <c r="B466">
        <v>10465</v>
      </c>
      <c r="C466" s="83">
        <v>694.6800000000004</v>
      </c>
      <c r="D466" s="83">
        <v>38.228841556628943</v>
      </c>
      <c r="E466" s="83">
        <v>56.481925730971817</v>
      </c>
      <c r="F466">
        <v>7</v>
      </c>
      <c r="G466" s="83">
        <v>11.968715910129566</v>
      </c>
      <c r="H466" s="83">
        <v>9.4669480654499996</v>
      </c>
      <c r="I466" s="83">
        <v>653.47000000000048</v>
      </c>
      <c r="J466" s="83">
        <v>64.101119982320057</v>
      </c>
      <c r="K466" s="83">
        <v>8.7255831166948443</v>
      </c>
      <c r="L466" s="83">
        <v>56.491476168433564</v>
      </c>
    </row>
    <row r="467" spans="1:12">
      <c r="A467" t="s">
        <v>685</v>
      </c>
      <c r="B467">
        <v>10466</v>
      </c>
      <c r="C467" s="83">
        <v>698.02000000000021</v>
      </c>
      <c r="D467" s="83">
        <v>16.600299409915245</v>
      </c>
      <c r="E467" s="83">
        <v>56.654854028102015</v>
      </c>
      <c r="F467">
        <v>7</v>
      </c>
      <c r="G467" s="83">
        <v>8.3952000412875947</v>
      </c>
      <c r="H467" s="83">
        <v>11.985842396900001</v>
      </c>
      <c r="I467" s="83">
        <v>653.47000000000048</v>
      </c>
      <c r="J467" s="83">
        <v>12.519231895296763</v>
      </c>
      <c r="K467" s="83">
        <v>4.1354997518700154</v>
      </c>
      <c r="L467" s="83">
        <v>57.204600210729417</v>
      </c>
    </row>
    <row r="468" spans="1:12">
      <c r="A468" t="s">
        <v>686</v>
      </c>
      <c r="B468">
        <v>10467</v>
      </c>
      <c r="C468" s="83">
        <v>680.63000000000022</v>
      </c>
      <c r="D468" s="83">
        <v>7.9238653483029875</v>
      </c>
      <c r="E468" s="83">
        <v>72.715207477600515</v>
      </c>
      <c r="F468">
        <v>7</v>
      </c>
      <c r="G468" s="83">
        <v>12.588899990111404</v>
      </c>
      <c r="H468" s="83">
        <v>11.8874680875</v>
      </c>
      <c r="I468" s="83">
        <v>639.7300000000007</v>
      </c>
      <c r="J468" s="83">
        <v>12.81812753022219</v>
      </c>
      <c r="K468" s="83">
        <v>2.0854999791450002</v>
      </c>
      <c r="L468" s="83">
        <v>73.160200489399955</v>
      </c>
    </row>
    <row r="469" spans="1:12">
      <c r="A469" t="s">
        <v>687</v>
      </c>
      <c r="B469">
        <v>10468</v>
      </c>
      <c r="C469" s="83">
        <v>689.80000000000041</v>
      </c>
      <c r="D469" s="83">
        <v>14.50430125758453</v>
      </c>
      <c r="E469" s="83">
        <v>70.884043597904949</v>
      </c>
      <c r="F469">
        <v>7</v>
      </c>
      <c r="G469" s="83">
        <v>17.511035481743765</v>
      </c>
      <c r="H469" s="83">
        <v>11.541808749200001</v>
      </c>
      <c r="I469" s="83">
        <v>639.7300000000007</v>
      </c>
      <c r="J469" s="83">
        <v>0.89238349791517024</v>
      </c>
      <c r="K469" s="83">
        <v>2.0847974452897371</v>
      </c>
      <c r="L469" s="83">
        <v>71.568448340105945</v>
      </c>
    </row>
    <row r="470" spans="1:12">
      <c r="A470" t="s">
        <v>688</v>
      </c>
      <c r="B470">
        <v>10469</v>
      </c>
      <c r="C470" s="83">
        <v>655.07000000000039</v>
      </c>
      <c r="D470" s="83">
        <v>14.390975125290737</v>
      </c>
      <c r="E470" s="83">
        <v>78.800341258133017</v>
      </c>
      <c r="F470">
        <v>7</v>
      </c>
      <c r="G470" s="83">
        <v>9.9402280653356598</v>
      </c>
      <c r="H470" s="83">
        <v>12.5413323581</v>
      </c>
      <c r="I470" s="83">
        <v>643.92000000000075</v>
      </c>
      <c r="J470" s="83">
        <v>0.75089426425725603</v>
      </c>
      <c r="K470" s="83">
        <v>1.0546196961695469</v>
      </c>
      <c r="L470" s="83">
        <v>81.11280737713993</v>
      </c>
    </row>
    <row r="471" spans="1:12">
      <c r="A471" t="s">
        <v>689</v>
      </c>
      <c r="B471">
        <v>10470</v>
      </c>
      <c r="C471" s="83">
        <v>652.34000000000037</v>
      </c>
      <c r="D471" s="83">
        <v>11.408575679886155</v>
      </c>
      <c r="E471" s="83">
        <v>64.293566401540303</v>
      </c>
      <c r="F471">
        <v>7</v>
      </c>
      <c r="G471" s="83">
        <v>11.951344262479241</v>
      </c>
      <c r="H471" s="83">
        <v>12.626617686300001</v>
      </c>
      <c r="I471" s="83">
        <v>643.92000000000075</v>
      </c>
      <c r="J471" s="83">
        <v>0.5574194433951406</v>
      </c>
      <c r="K471" s="83">
        <v>2.9582715304562113</v>
      </c>
      <c r="L471" s="83">
        <v>69.004482476265281</v>
      </c>
    </row>
    <row r="472" spans="1:12">
      <c r="A472" t="s">
        <v>690</v>
      </c>
      <c r="B472">
        <v>10471</v>
      </c>
      <c r="C472" s="83">
        <v>682.36000000000035</v>
      </c>
      <c r="D472" s="83">
        <v>10.015435343437828</v>
      </c>
      <c r="E472" s="83">
        <v>77.947343222729046</v>
      </c>
      <c r="F472">
        <v>7</v>
      </c>
      <c r="G472" s="83">
        <v>4.7472425111537859</v>
      </c>
      <c r="H472" s="83">
        <v>13.2734097398</v>
      </c>
      <c r="I472" s="83">
        <v>662.2300000000007</v>
      </c>
      <c r="J472" s="83">
        <v>0.32303738019915224</v>
      </c>
      <c r="K472" s="83">
        <v>2.6221829842421776</v>
      </c>
      <c r="L472" s="83">
        <v>78.272606135888751</v>
      </c>
    </row>
    <row r="473" spans="1:12">
      <c r="A473" t="s">
        <v>691</v>
      </c>
      <c r="B473">
        <v>10472</v>
      </c>
      <c r="C473" s="83">
        <v>668.90000000000032</v>
      </c>
      <c r="D473" s="83">
        <v>2.2588239672067019</v>
      </c>
      <c r="E473" s="83">
        <v>76.751792430631525</v>
      </c>
      <c r="F473">
        <v>7</v>
      </c>
      <c r="G473" s="83">
        <v>6.716069212928435</v>
      </c>
      <c r="H473" s="83">
        <v>14.3501618637</v>
      </c>
      <c r="I473" s="83">
        <v>662.2300000000007</v>
      </c>
      <c r="J473" s="83">
        <v>0.87050750893630857</v>
      </c>
      <c r="K473" s="83">
        <v>0.69146471664758269</v>
      </c>
      <c r="L473" s="83">
        <v>77.265778783572514</v>
      </c>
    </row>
    <row r="474" spans="1:12">
      <c r="A474" t="s">
        <v>692</v>
      </c>
      <c r="B474">
        <v>10473</v>
      </c>
      <c r="C474" s="83">
        <v>663.25000000000011</v>
      </c>
      <c r="D474" s="83">
        <v>1.5799487813209452</v>
      </c>
      <c r="E474" s="83">
        <v>83.62632494953661</v>
      </c>
      <c r="F474">
        <v>7</v>
      </c>
      <c r="G474" s="83">
        <v>6.5974000160523492</v>
      </c>
      <c r="H474" s="83">
        <v>15.951078608400001</v>
      </c>
      <c r="I474" s="83">
        <v>661.10000000000059</v>
      </c>
      <c r="J474" s="83">
        <v>0.30566047932243978</v>
      </c>
      <c r="K474" s="83">
        <v>5.8499998830000025E-2</v>
      </c>
      <c r="L474" s="83">
        <v>84.31619994967842</v>
      </c>
    </row>
    <row r="475" spans="1:12">
      <c r="A475" t="s">
        <v>693</v>
      </c>
      <c r="B475">
        <v>10474</v>
      </c>
      <c r="C475" s="83">
        <v>678.34000000000037</v>
      </c>
      <c r="D475" s="83">
        <v>35.803963366720872</v>
      </c>
      <c r="E475" s="83">
        <v>80.248442385296229</v>
      </c>
      <c r="F475">
        <v>7</v>
      </c>
      <c r="G475" s="83">
        <v>7.0026520326380268</v>
      </c>
      <c r="H475" s="83">
        <v>11.4645588572</v>
      </c>
      <c r="I475" s="83">
        <v>661.10000000000059</v>
      </c>
      <c r="J475" s="83">
        <v>3.4545232367145773</v>
      </c>
      <c r="K475" s="83">
        <v>3.2712378406780229</v>
      </c>
      <c r="L475" s="83">
        <v>79.101616220120803</v>
      </c>
    </row>
    <row r="476" spans="1:12">
      <c r="A476" t="s">
        <v>694</v>
      </c>
      <c r="B476">
        <v>10475</v>
      </c>
      <c r="C476" s="83">
        <v>666.34</v>
      </c>
      <c r="D476" s="83">
        <v>83.022691455706806</v>
      </c>
      <c r="E476" s="83">
        <v>1.138696416919369</v>
      </c>
      <c r="F476">
        <v>4</v>
      </c>
      <c r="G476" s="83">
        <v>3.6171515140909567</v>
      </c>
      <c r="H476" s="83">
        <v>0.95449788905400001</v>
      </c>
      <c r="I476" s="83">
        <v>663.82000000000062</v>
      </c>
      <c r="J476" s="83">
        <v>0</v>
      </c>
      <c r="K476" s="83">
        <v>2.1849923746534943</v>
      </c>
      <c r="L476" s="83">
        <v>0.35176897200288298</v>
      </c>
    </row>
    <row r="477" spans="1:12">
      <c r="A477" t="s">
        <v>695</v>
      </c>
      <c r="B477">
        <v>10476</v>
      </c>
      <c r="C477" s="83">
        <v>717.28000000000054</v>
      </c>
      <c r="D477" s="83">
        <v>20.04245615791827</v>
      </c>
      <c r="E477" s="83">
        <v>39.18923483126769</v>
      </c>
      <c r="F477">
        <v>7</v>
      </c>
      <c r="G477" s="83">
        <v>34.6925886302989</v>
      </c>
      <c r="H477" s="83">
        <v>9.8623628688499991</v>
      </c>
      <c r="I477" s="83">
        <v>665.83000000000061</v>
      </c>
      <c r="J477" s="83">
        <v>3.6587211581360863</v>
      </c>
      <c r="K477" s="83">
        <v>2.3240062772532819</v>
      </c>
      <c r="L477" s="83">
        <v>42.044382204883739</v>
      </c>
    </row>
    <row r="478" spans="1:12">
      <c r="A478" t="s">
        <v>696</v>
      </c>
      <c r="B478">
        <v>10477</v>
      </c>
      <c r="C478" s="83">
        <v>730.71000000000026</v>
      </c>
      <c r="D478" s="83">
        <v>54.014148558273021</v>
      </c>
      <c r="E478" s="83">
        <v>24.516805928232845</v>
      </c>
      <c r="F478">
        <v>7</v>
      </c>
      <c r="G478" s="83">
        <v>42.905548633051424</v>
      </c>
      <c r="H478" s="83">
        <v>8.4418534142399988</v>
      </c>
      <c r="I478" s="83">
        <v>660.02000000000055</v>
      </c>
      <c r="J478" s="83">
        <v>54.895648261321163</v>
      </c>
      <c r="K478" s="83">
        <v>6.3990625442577898</v>
      </c>
      <c r="L478" s="83">
        <v>26.291616435353159</v>
      </c>
    </row>
    <row r="479" spans="1:12">
      <c r="A479" t="s">
        <v>697</v>
      </c>
      <c r="B479">
        <v>10478</v>
      </c>
      <c r="C479" s="83">
        <v>708.5600000000004</v>
      </c>
      <c r="D479" s="83">
        <v>30.475335076371813</v>
      </c>
      <c r="E479" s="83">
        <v>70.11299219551168</v>
      </c>
      <c r="F479">
        <v>7</v>
      </c>
      <c r="G479" s="83">
        <v>15.336432501902658</v>
      </c>
      <c r="H479" s="83">
        <v>10.1404614923</v>
      </c>
      <c r="I479" s="83">
        <v>660.02000000000055</v>
      </c>
      <c r="J479" s="83">
        <v>43.026857934964355</v>
      </c>
      <c r="K479" s="83">
        <v>2.109436134187884</v>
      </c>
      <c r="L479" s="83">
        <v>72.741327374324769</v>
      </c>
    </row>
    <row r="480" spans="1:12">
      <c r="A480" t="s">
        <v>698</v>
      </c>
      <c r="B480">
        <v>10479</v>
      </c>
      <c r="C480" s="83">
        <v>717.23000000000047</v>
      </c>
      <c r="D480" s="83">
        <v>25.014597886004612</v>
      </c>
      <c r="E480" s="83">
        <v>70.359807603734325</v>
      </c>
      <c r="F480">
        <v>7</v>
      </c>
      <c r="G480" s="83">
        <v>13.198899940956174</v>
      </c>
      <c r="H480" s="83">
        <v>10.2439726986</v>
      </c>
      <c r="I480" s="83">
        <v>653.47000000000048</v>
      </c>
      <c r="J480" s="83">
        <v>12.355011666191833</v>
      </c>
      <c r="K480" s="83">
        <v>1.4670000586800025</v>
      </c>
      <c r="L480" s="83">
        <v>73.198700342948257</v>
      </c>
    </row>
    <row r="481" spans="1:12">
      <c r="A481" t="s">
        <v>699</v>
      </c>
      <c r="B481">
        <v>10480</v>
      </c>
      <c r="C481" s="83">
        <v>723.83000000000015</v>
      </c>
      <c r="D481" s="83">
        <v>30.345225668056479</v>
      </c>
      <c r="E481" s="83">
        <v>56.993736920292207</v>
      </c>
      <c r="F481">
        <v>7</v>
      </c>
      <c r="G481" s="83">
        <v>7.4473002785265434</v>
      </c>
      <c r="H481" s="83">
        <v>10.279736336800001</v>
      </c>
      <c r="I481" s="83">
        <v>653.47000000000048</v>
      </c>
      <c r="J481" s="83">
        <v>13.089917645391729</v>
      </c>
      <c r="K481" s="83">
        <v>3.3838999661610005</v>
      </c>
      <c r="L481" s="83">
        <v>60.705100316946584</v>
      </c>
    </row>
    <row r="482" spans="1:12">
      <c r="A482" t="s">
        <v>700</v>
      </c>
      <c r="B482">
        <v>10481</v>
      </c>
      <c r="C482" s="83">
        <v>711.6900000000004</v>
      </c>
      <c r="D482" s="83">
        <v>26.711829522650433</v>
      </c>
      <c r="E482" s="83">
        <v>63.105516945159557</v>
      </c>
      <c r="F482">
        <v>7</v>
      </c>
      <c r="G482" s="83">
        <v>10.796300085851668</v>
      </c>
      <c r="H482" s="83">
        <v>10.121605821400001</v>
      </c>
      <c r="I482" s="83">
        <v>639.7300000000007</v>
      </c>
      <c r="J482" s="83">
        <v>13.272823803911891</v>
      </c>
      <c r="K482" s="83">
        <v>2.0593000823720033</v>
      </c>
      <c r="L482" s="83">
        <v>67.196599865859241</v>
      </c>
    </row>
    <row r="483" spans="1:12">
      <c r="A483" t="s">
        <v>701</v>
      </c>
      <c r="B483">
        <v>10482</v>
      </c>
      <c r="C483" s="83">
        <v>697.44000000000028</v>
      </c>
      <c r="D483" s="83">
        <v>17.065539845199424</v>
      </c>
      <c r="E483" s="83">
        <v>44.71166408937556</v>
      </c>
      <c r="F483">
        <v>7</v>
      </c>
      <c r="G483" s="83">
        <v>9.7491996035056054</v>
      </c>
      <c r="H483" s="83">
        <v>10.8952456532</v>
      </c>
      <c r="I483" s="83">
        <v>639.7300000000007</v>
      </c>
      <c r="J483" s="83">
        <v>13.05038286934812</v>
      </c>
      <c r="K483" s="83">
        <v>1.4699999853000003</v>
      </c>
      <c r="L483" s="83">
        <v>47.85589955043794</v>
      </c>
    </row>
    <row r="484" spans="1:12">
      <c r="A484" t="s">
        <v>702</v>
      </c>
      <c r="B484">
        <v>10483</v>
      </c>
      <c r="C484" s="83">
        <v>649.7900000000003</v>
      </c>
      <c r="D484" s="83">
        <v>8.0885347980918016</v>
      </c>
      <c r="E484" s="83">
        <v>73.159211078956673</v>
      </c>
      <c r="F484">
        <v>7</v>
      </c>
      <c r="G484" s="83">
        <v>8.418300017732042</v>
      </c>
      <c r="H484" s="83">
        <v>12.3982846204</v>
      </c>
      <c r="I484" s="83">
        <v>643.92000000000075</v>
      </c>
      <c r="J484" s="83">
        <v>12.935478291297949</v>
      </c>
      <c r="K484" s="83">
        <v>0.60690002427600098</v>
      </c>
      <c r="L484" s="83">
        <v>75.557101330284397</v>
      </c>
    </row>
    <row r="485" spans="1:12">
      <c r="A485" t="s">
        <v>703</v>
      </c>
      <c r="B485">
        <v>10484</v>
      </c>
      <c r="C485" s="83">
        <v>647.71</v>
      </c>
      <c r="D485" s="83">
        <v>4.0165775810927133</v>
      </c>
      <c r="E485" s="83">
        <v>74.934155756842472</v>
      </c>
      <c r="F485">
        <v>7</v>
      </c>
      <c r="G485" s="83">
        <v>7.1988584732395084</v>
      </c>
      <c r="H485" s="83">
        <v>13.4024571509</v>
      </c>
      <c r="I485" s="83">
        <v>643.92000000000075</v>
      </c>
      <c r="J485" s="83">
        <v>0.51537272276809687</v>
      </c>
      <c r="K485" s="83">
        <v>1.6648954751954177</v>
      </c>
      <c r="L485" s="83">
        <v>76.840608095420492</v>
      </c>
    </row>
    <row r="486" spans="1:12">
      <c r="A486" t="s">
        <v>704</v>
      </c>
      <c r="B486">
        <v>10485</v>
      </c>
      <c r="C486" s="83">
        <v>655.32000000000016</v>
      </c>
      <c r="D486" s="83">
        <v>21.383524914331979</v>
      </c>
      <c r="E486" s="83">
        <v>62.617206147798342</v>
      </c>
      <c r="F486">
        <v>7</v>
      </c>
      <c r="G486" s="83">
        <v>5.779322993365323</v>
      </c>
      <c r="H486" s="83">
        <v>13.026329623300001</v>
      </c>
      <c r="I486" s="83">
        <v>656.41000000000031</v>
      </c>
      <c r="J486" s="83">
        <v>0</v>
      </c>
      <c r="K486" s="83">
        <v>19.243912818033177</v>
      </c>
      <c r="L486" s="83">
        <v>45.316605712228352</v>
      </c>
    </row>
    <row r="487" spans="1:12">
      <c r="A487" t="s">
        <v>705</v>
      </c>
      <c r="B487">
        <v>10486</v>
      </c>
      <c r="C487" s="83">
        <v>671.87000000000057</v>
      </c>
      <c r="D487" s="83">
        <v>11.148280938354862</v>
      </c>
      <c r="E487" s="83">
        <v>60.717193483881282</v>
      </c>
      <c r="F487">
        <v>7</v>
      </c>
      <c r="G487" s="83">
        <v>7.5463247106329536</v>
      </c>
      <c r="H487" s="83">
        <v>11.6723461844</v>
      </c>
      <c r="I487" s="83">
        <v>656.41000000000031</v>
      </c>
      <c r="J487" s="83">
        <v>0</v>
      </c>
      <c r="K487" s="83">
        <v>6.5633585244130153</v>
      </c>
      <c r="L487" s="83">
        <v>66.209685136954391</v>
      </c>
    </row>
    <row r="488" spans="1:12">
      <c r="A488" t="s">
        <v>706</v>
      </c>
      <c r="B488">
        <v>10487</v>
      </c>
      <c r="C488" s="83">
        <v>669.75000000000034</v>
      </c>
      <c r="D488" s="83">
        <v>0.86422611873291943</v>
      </c>
      <c r="E488" s="83">
        <v>74.431644144642249</v>
      </c>
      <c r="F488">
        <v>7</v>
      </c>
      <c r="G488" s="83">
        <v>10.729158426331393</v>
      </c>
      <c r="H488" s="83">
        <v>12.4121741057</v>
      </c>
      <c r="I488" s="83">
        <v>662.2300000000007</v>
      </c>
      <c r="J488" s="83">
        <v>0</v>
      </c>
      <c r="K488" s="83">
        <v>3.3534244893109832</v>
      </c>
      <c r="L488" s="83">
        <v>77.518441094600433</v>
      </c>
    </row>
    <row r="489" spans="1:12">
      <c r="A489" t="s">
        <v>707</v>
      </c>
      <c r="B489">
        <v>10488</v>
      </c>
      <c r="C489" s="83">
        <v>650.38000000000045</v>
      </c>
      <c r="D489" s="83">
        <v>4.9240620823694403</v>
      </c>
      <c r="E489" s="83">
        <v>73.225914553187707</v>
      </c>
      <c r="F489">
        <v>7</v>
      </c>
      <c r="G489" s="83">
        <v>5.8968063914524649</v>
      </c>
      <c r="H489" s="83">
        <v>12.9109882459</v>
      </c>
      <c r="I489" s="83">
        <v>662.2300000000007</v>
      </c>
      <c r="J489" s="83">
        <v>1.0945604535539368</v>
      </c>
      <c r="K489" s="83">
        <v>2.8211243258042056</v>
      </c>
      <c r="L489" s="83">
        <v>73.442449476933518</v>
      </c>
    </row>
    <row r="490" spans="1:12">
      <c r="A490" t="s">
        <v>708</v>
      </c>
      <c r="B490">
        <v>10489</v>
      </c>
      <c r="C490" s="83">
        <v>630.45000000000039</v>
      </c>
      <c r="D490" s="83">
        <v>2.5854623560811958</v>
      </c>
      <c r="E490" s="83">
        <v>64.735587084904864</v>
      </c>
      <c r="F490">
        <v>7</v>
      </c>
      <c r="G490" s="83">
        <v>7.0219995177380641</v>
      </c>
      <c r="H490" s="83">
        <v>14.612099328400001</v>
      </c>
      <c r="I490" s="83">
        <v>661.10000000000059</v>
      </c>
      <c r="J490" s="83">
        <v>0</v>
      </c>
      <c r="K490" s="83">
        <v>1.0375687462864456</v>
      </c>
      <c r="L490" s="83">
        <v>65.56868781655993</v>
      </c>
    </row>
    <row r="491" spans="1:12">
      <c r="A491" t="s">
        <v>709</v>
      </c>
      <c r="B491">
        <v>10490</v>
      </c>
      <c r="C491" s="83">
        <v>663.14000000000021</v>
      </c>
      <c r="D491" s="83">
        <v>6.7746939956696135</v>
      </c>
      <c r="E491" s="83">
        <v>84.008340773600068</v>
      </c>
      <c r="F491">
        <v>7</v>
      </c>
      <c r="G491" s="83">
        <v>9.8165000519990961</v>
      </c>
      <c r="H491" s="83">
        <v>16.083797922800002</v>
      </c>
      <c r="I491" s="83">
        <v>661.10000000000059</v>
      </c>
      <c r="J491" s="83">
        <v>1.8927633551100915</v>
      </c>
      <c r="K491" s="83">
        <v>0.85070000000000001</v>
      </c>
      <c r="L491" s="83">
        <v>84.571999926999808</v>
      </c>
    </row>
    <row r="492" spans="1:12">
      <c r="A492" t="s">
        <v>710</v>
      </c>
      <c r="B492">
        <v>10491</v>
      </c>
      <c r="C492" s="83">
        <v>673.13000000000034</v>
      </c>
      <c r="D492" s="83">
        <v>20.240053216239826</v>
      </c>
      <c r="E492" s="83">
        <v>69.100132846626138</v>
      </c>
      <c r="F492">
        <v>7</v>
      </c>
      <c r="G492" s="83">
        <v>10.740426226018046</v>
      </c>
      <c r="H492" s="83">
        <v>12.139290619300001</v>
      </c>
      <c r="I492" s="83">
        <v>679.38000000000068</v>
      </c>
      <c r="J492" s="83">
        <v>0</v>
      </c>
      <c r="K492" s="83">
        <v>6.7205304554777774</v>
      </c>
      <c r="L492" s="83">
        <v>67.009425179364783</v>
      </c>
    </row>
    <row r="493" spans="1:12">
      <c r="A493" t="s">
        <v>711</v>
      </c>
      <c r="B493">
        <v>10492</v>
      </c>
      <c r="C493" s="83">
        <v>669.87000000000012</v>
      </c>
      <c r="D493" s="83">
        <v>74.969615345931715</v>
      </c>
      <c r="E493" s="83">
        <v>0</v>
      </c>
      <c r="F493">
        <v>4</v>
      </c>
      <c r="G493" s="83">
        <v>5.6804827221806894E-2</v>
      </c>
      <c r="H493" s="83">
        <v>0.81141045987899996</v>
      </c>
      <c r="I493" s="83">
        <v>663.82000000000062</v>
      </c>
      <c r="J493" s="83">
        <v>0</v>
      </c>
      <c r="K493" s="83">
        <v>0</v>
      </c>
      <c r="L493" s="83">
        <v>0</v>
      </c>
    </row>
    <row r="494" spans="1:12">
      <c r="A494" t="s">
        <v>712</v>
      </c>
      <c r="B494">
        <v>10493</v>
      </c>
      <c r="C494" s="83">
        <v>668.59</v>
      </c>
      <c r="D494" s="83">
        <v>76.595512423086433</v>
      </c>
      <c r="E494" s="83">
        <v>0</v>
      </c>
      <c r="F494">
        <v>4</v>
      </c>
      <c r="G494" s="83">
        <v>0</v>
      </c>
      <c r="H494" s="83">
        <v>0.75659574590500001</v>
      </c>
      <c r="I494" s="83">
        <v>663.82000000000062</v>
      </c>
      <c r="J494" s="83">
        <v>0</v>
      </c>
      <c r="K494" s="83">
        <v>0</v>
      </c>
      <c r="L494" s="83">
        <v>0</v>
      </c>
    </row>
    <row r="495" spans="1:12">
      <c r="A495" t="s">
        <v>713</v>
      </c>
      <c r="B495">
        <v>10494</v>
      </c>
      <c r="C495" s="83">
        <v>732.9200000000003</v>
      </c>
      <c r="D495" s="83">
        <v>38.369180038978598</v>
      </c>
      <c r="E495" s="83">
        <v>32.001133890155565</v>
      </c>
      <c r="F495">
        <v>7</v>
      </c>
      <c r="G495" s="83">
        <v>37.01036747998856</v>
      </c>
      <c r="H495" s="83">
        <v>8.6040686513599987</v>
      </c>
      <c r="I495" s="83">
        <v>660.26000000000045</v>
      </c>
      <c r="J495" s="83">
        <v>15.300797466972263</v>
      </c>
      <c r="K495" s="83">
        <v>5.1094384517481668</v>
      </c>
      <c r="L495" s="83">
        <v>33.602493844324357</v>
      </c>
    </row>
    <row r="496" spans="1:12">
      <c r="A496" t="s">
        <v>714</v>
      </c>
      <c r="B496">
        <v>10495</v>
      </c>
      <c r="C496" s="83">
        <v>742.94000000000028</v>
      </c>
      <c r="D496" s="83">
        <v>24.284989222326949</v>
      </c>
      <c r="E496" s="83">
        <v>59.706718478048529</v>
      </c>
      <c r="F496">
        <v>7</v>
      </c>
      <c r="G496" s="83">
        <v>15.064076819929355</v>
      </c>
      <c r="H496" s="83">
        <v>10.8091105706</v>
      </c>
      <c r="I496" s="83">
        <v>657.81000000000063</v>
      </c>
      <c r="J496" s="83">
        <v>53.222305183884743</v>
      </c>
      <c r="K496" s="83">
        <v>3.310319035064524</v>
      </c>
      <c r="L496" s="83">
        <v>62.499864764993085</v>
      </c>
    </row>
    <row r="497" spans="1:12">
      <c r="A497" t="s">
        <v>715</v>
      </c>
      <c r="B497">
        <v>10496</v>
      </c>
      <c r="C497" s="83">
        <v>717.24000000000024</v>
      </c>
      <c r="D497" s="83">
        <v>34.388220117796784</v>
      </c>
      <c r="E497" s="83">
        <v>65.142262897127836</v>
      </c>
      <c r="F497">
        <v>7</v>
      </c>
      <c r="G497" s="83">
        <v>13.61193976590482</v>
      </c>
      <c r="H497" s="83">
        <v>9.7411498969199997</v>
      </c>
      <c r="I497" s="83">
        <v>657.81000000000063</v>
      </c>
      <c r="J497" s="83">
        <v>38.599981519604391</v>
      </c>
      <c r="K497" s="83">
        <v>2.6965750456689448</v>
      </c>
      <c r="L497" s="83">
        <v>65.839742940877898</v>
      </c>
    </row>
    <row r="498" spans="1:12">
      <c r="A498" t="s">
        <v>716</v>
      </c>
      <c r="B498">
        <v>10497</v>
      </c>
      <c r="C498" s="83">
        <v>714.94000000000051</v>
      </c>
      <c r="D498" s="83">
        <v>8.7960972175841388</v>
      </c>
      <c r="E498" s="83">
        <v>66.112055878219252</v>
      </c>
      <c r="F498">
        <v>7</v>
      </c>
      <c r="G498" s="83">
        <v>15.839050727669351</v>
      </c>
      <c r="H498" s="83">
        <v>11.8987995163</v>
      </c>
      <c r="I498" s="83">
        <v>652.36000000000047</v>
      </c>
      <c r="J498" s="83">
        <v>15.967940711175016</v>
      </c>
      <c r="K498" s="83">
        <v>2.1423737688562587</v>
      </c>
      <c r="L498" s="83">
        <v>69.255703452532458</v>
      </c>
    </row>
    <row r="499" spans="1:12">
      <c r="A499" t="s">
        <v>717</v>
      </c>
      <c r="B499">
        <v>10498</v>
      </c>
      <c r="C499" s="83">
        <v>725.10000000000059</v>
      </c>
      <c r="D499" s="83">
        <v>11.736504483923959</v>
      </c>
      <c r="E499" s="83">
        <v>56.141668898959537</v>
      </c>
      <c r="F499">
        <v>7</v>
      </c>
      <c r="G499" s="83">
        <v>7.9055002029446895</v>
      </c>
      <c r="H499" s="83">
        <v>11.532673090500001</v>
      </c>
      <c r="I499" s="83">
        <v>652.36000000000047</v>
      </c>
      <c r="J499" s="83">
        <v>1.391651848508026</v>
      </c>
      <c r="K499" s="83">
        <v>4.8323999516759999</v>
      </c>
      <c r="L499" s="83">
        <v>58.65419978945814</v>
      </c>
    </row>
    <row r="500" spans="1:12">
      <c r="A500" t="s">
        <v>718</v>
      </c>
      <c r="B500">
        <v>10499</v>
      </c>
      <c r="C500" s="83">
        <v>718.38000000000034</v>
      </c>
      <c r="D500" s="83">
        <v>31.23410444232379</v>
      </c>
      <c r="E500" s="83">
        <v>59.609451294276354</v>
      </c>
      <c r="F500">
        <v>7</v>
      </c>
      <c r="G500" s="83">
        <v>10.629499905180552</v>
      </c>
      <c r="H500" s="83">
        <v>10.400118275500001</v>
      </c>
      <c r="I500" s="83">
        <v>641.18000000000086</v>
      </c>
      <c r="J500" s="83">
        <v>13.790723110752481</v>
      </c>
      <c r="K500" s="83">
        <v>2.2924000916960035</v>
      </c>
      <c r="L500" s="83">
        <v>63.753699582140911</v>
      </c>
    </row>
    <row r="501" spans="1:12">
      <c r="A501" t="s">
        <v>719</v>
      </c>
      <c r="B501">
        <v>10500</v>
      </c>
      <c r="C501" s="83">
        <v>706.92000000000053</v>
      </c>
      <c r="D501" s="83">
        <v>23.355030740592845</v>
      </c>
      <c r="E501" s="83">
        <v>49.123407867956765</v>
      </c>
      <c r="F501">
        <v>7</v>
      </c>
      <c r="G501" s="83">
        <v>15.348499823515038</v>
      </c>
      <c r="H501" s="83">
        <v>11.1382423279</v>
      </c>
      <c r="I501" s="83">
        <v>641.18000000000086</v>
      </c>
      <c r="J501" s="83">
        <v>12.994212816317969</v>
      </c>
      <c r="K501" s="83">
        <v>2.3095999769039999</v>
      </c>
      <c r="L501" s="83">
        <v>50.744698729551516</v>
      </c>
    </row>
    <row r="502" spans="1:12">
      <c r="A502" t="s">
        <v>720</v>
      </c>
      <c r="B502">
        <v>10501</v>
      </c>
      <c r="C502" s="83">
        <v>684.71000000000049</v>
      </c>
      <c r="D502" s="83">
        <v>22.770545583212268</v>
      </c>
      <c r="E502" s="83">
        <v>52.403259198740088</v>
      </c>
      <c r="F502">
        <v>7</v>
      </c>
      <c r="G502" s="83">
        <v>8.3369997754806988</v>
      </c>
      <c r="H502" s="83">
        <v>11.536178321000001</v>
      </c>
      <c r="I502" s="83">
        <v>639.47000000000071</v>
      </c>
      <c r="J502" s="83">
        <v>13.130032390082061</v>
      </c>
      <c r="K502" s="83">
        <v>2.6691001067640041</v>
      </c>
      <c r="L502" s="83">
        <v>53.870900367838701</v>
      </c>
    </row>
    <row r="503" spans="1:12">
      <c r="A503" t="s">
        <v>721</v>
      </c>
      <c r="B503">
        <v>10502</v>
      </c>
      <c r="C503" s="83">
        <v>665.76000000000022</v>
      </c>
      <c r="D503" s="83">
        <v>4.0607584810304722</v>
      </c>
      <c r="E503" s="83">
        <v>80.40148930445767</v>
      </c>
      <c r="F503">
        <v>7</v>
      </c>
      <c r="G503" s="83">
        <v>8.1093741891220326</v>
      </c>
      <c r="H503" s="83">
        <v>13.2214621172</v>
      </c>
      <c r="I503" s="83">
        <v>639.47000000000071</v>
      </c>
      <c r="J503" s="83">
        <v>1.1063586444687892</v>
      </c>
      <c r="K503" s="83">
        <v>0.75740690593240345</v>
      </c>
      <c r="L503" s="83">
        <v>83.666864095002495</v>
      </c>
    </row>
    <row r="504" spans="1:12">
      <c r="A504" t="s">
        <v>722</v>
      </c>
      <c r="B504">
        <v>10503</v>
      </c>
      <c r="C504" s="83">
        <v>662.8</v>
      </c>
      <c r="D504" s="83">
        <v>10.487513028853645</v>
      </c>
      <c r="E504" s="83">
        <v>54.36000190064334</v>
      </c>
      <c r="F504">
        <v>7</v>
      </c>
      <c r="G504" s="83">
        <v>22.485453153597554</v>
      </c>
      <c r="H504" s="83">
        <v>11.815259309</v>
      </c>
      <c r="I504" s="83">
        <v>657.42000000000041</v>
      </c>
      <c r="J504" s="83">
        <v>0.22461944113831106</v>
      </c>
      <c r="K504" s="83">
        <v>5.605693564144957</v>
      </c>
      <c r="L504" s="83">
        <v>57.060173399582638</v>
      </c>
    </row>
    <row r="505" spans="1:12">
      <c r="A505" t="s">
        <v>723</v>
      </c>
      <c r="B505">
        <v>10504</v>
      </c>
      <c r="C505" s="83">
        <v>670.11000000000047</v>
      </c>
      <c r="D505" s="83">
        <v>16.185784958232134</v>
      </c>
      <c r="E505" s="83">
        <v>64.283238765342688</v>
      </c>
      <c r="F505">
        <v>7</v>
      </c>
      <c r="G505" s="83">
        <v>6.0451402733180633</v>
      </c>
      <c r="H505" s="83">
        <v>9.77066667239</v>
      </c>
      <c r="I505" s="83">
        <v>657.42000000000041</v>
      </c>
      <c r="J505" s="83">
        <v>100</v>
      </c>
      <c r="K505" s="83">
        <v>71.926538197433842</v>
      </c>
      <c r="L505" s="83">
        <v>0.39398198371557674</v>
      </c>
    </row>
    <row r="506" spans="1:12">
      <c r="A506" t="s">
        <v>724</v>
      </c>
      <c r="B506">
        <v>10505</v>
      </c>
      <c r="C506" s="83">
        <v>669.44000000000028</v>
      </c>
      <c r="D506" s="83">
        <v>0.66313472494549985</v>
      </c>
      <c r="E506" s="83">
        <v>78.173463371251856</v>
      </c>
      <c r="F506">
        <v>7</v>
      </c>
      <c r="G506" s="83">
        <v>8.9534438388356747</v>
      </c>
      <c r="H506" s="83">
        <v>12.697942016800001</v>
      </c>
      <c r="I506" s="83">
        <v>671.71000000000049</v>
      </c>
      <c r="J506" s="83">
        <v>0</v>
      </c>
      <c r="K506" s="83">
        <v>4.1274805095268281</v>
      </c>
      <c r="L506" s="83">
        <v>79.270984291864792</v>
      </c>
    </row>
    <row r="507" spans="1:12">
      <c r="A507" t="s">
        <v>725</v>
      </c>
      <c r="B507">
        <v>10506</v>
      </c>
      <c r="C507" s="83">
        <v>662.91000000000042</v>
      </c>
      <c r="D507" s="83">
        <v>3.6715672459920699</v>
      </c>
      <c r="E507" s="83">
        <v>67.317316718594668</v>
      </c>
      <c r="F507">
        <v>7</v>
      </c>
      <c r="G507" s="83">
        <v>7.2304186710634619</v>
      </c>
      <c r="H507" s="83">
        <v>13.7403872581</v>
      </c>
      <c r="I507" s="83">
        <v>671.71000000000049</v>
      </c>
      <c r="J507" s="83">
        <v>0.45557587033433039</v>
      </c>
      <c r="K507" s="83">
        <v>7.1523888278206655</v>
      </c>
      <c r="L507" s="83">
        <v>67.324748651378016</v>
      </c>
    </row>
    <row r="508" spans="1:12">
      <c r="A508" t="s">
        <v>726</v>
      </c>
      <c r="B508">
        <v>10507</v>
      </c>
      <c r="C508" s="83">
        <v>649.63000000000045</v>
      </c>
      <c r="D508" s="83">
        <v>7.3489473410538686</v>
      </c>
      <c r="E508" s="83">
        <v>62.803976351938296</v>
      </c>
      <c r="F508">
        <v>7</v>
      </c>
      <c r="G508" s="83">
        <v>12.49024604069456</v>
      </c>
      <c r="H508" s="83">
        <v>14.032907552000001</v>
      </c>
      <c r="I508" s="83">
        <v>668.54000000000053</v>
      </c>
      <c r="J508" s="83">
        <v>2.0394548187020778</v>
      </c>
      <c r="K508" s="83">
        <v>2.4268237465480107</v>
      </c>
      <c r="L508" s="83">
        <v>63.478999598894944</v>
      </c>
    </row>
    <row r="509" spans="1:12">
      <c r="A509" t="s">
        <v>727</v>
      </c>
      <c r="B509">
        <v>10508</v>
      </c>
      <c r="C509" s="83">
        <v>654.01000000000045</v>
      </c>
      <c r="D509" s="83">
        <v>22.225477111764043</v>
      </c>
      <c r="E509" s="83">
        <v>70.351725668398103</v>
      </c>
      <c r="F509">
        <v>7</v>
      </c>
      <c r="G509" s="83">
        <v>5.6072423800064612</v>
      </c>
      <c r="H509" s="83">
        <v>12.4125245915</v>
      </c>
      <c r="I509" s="83">
        <v>668.54000000000053</v>
      </c>
      <c r="J509" s="83">
        <v>8.7899074983643626</v>
      </c>
      <c r="K509" s="83">
        <v>2.3240222067166871</v>
      </c>
      <c r="L509" s="83">
        <v>69.209023395295659</v>
      </c>
    </row>
    <row r="510" spans="1:12">
      <c r="A510" t="s">
        <v>728</v>
      </c>
      <c r="B510">
        <v>10509</v>
      </c>
      <c r="C510" s="83">
        <v>670.22000000000037</v>
      </c>
      <c r="D510" s="83">
        <v>24.911253348117377</v>
      </c>
      <c r="E510" s="83">
        <v>74.256594232638278</v>
      </c>
      <c r="F510">
        <v>7</v>
      </c>
      <c r="G510" s="83">
        <v>3.8497674023137627</v>
      </c>
      <c r="H510" s="83">
        <v>11.7614191707</v>
      </c>
      <c r="I510" s="83">
        <v>687.45000000000073</v>
      </c>
      <c r="J510" s="83">
        <v>15.767329814879135</v>
      </c>
      <c r="K510" s="83">
        <v>10.792600363644739</v>
      </c>
      <c r="L510" s="83">
        <v>66.045258350249668</v>
      </c>
    </row>
    <row r="511" spans="1:12">
      <c r="A511" t="s">
        <v>729</v>
      </c>
      <c r="B511">
        <v>10510</v>
      </c>
      <c r="C511" s="83">
        <v>714.32000000000039</v>
      </c>
      <c r="D511" s="83">
        <v>63.488140481981624</v>
      </c>
      <c r="E511" s="83">
        <v>21.888521839566618</v>
      </c>
      <c r="F511">
        <v>7</v>
      </c>
      <c r="G511" s="83">
        <v>35.35246879386851</v>
      </c>
      <c r="H511" s="83">
        <v>6.3833600704299993</v>
      </c>
      <c r="I511" s="83">
        <v>660.26000000000045</v>
      </c>
      <c r="J511" s="83">
        <v>40.264063703038083</v>
      </c>
      <c r="K511" s="83">
        <v>5.291937992037564</v>
      </c>
      <c r="L511" s="83">
        <v>21.620082404992285</v>
      </c>
    </row>
    <row r="512" spans="1:12">
      <c r="A512" t="s">
        <v>730</v>
      </c>
      <c r="B512">
        <v>10511</v>
      </c>
      <c r="C512" s="83">
        <v>729.6900000000004</v>
      </c>
      <c r="D512" s="83">
        <v>53.933907780857368</v>
      </c>
      <c r="E512" s="83">
        <v>63.273444801251536</v>
      </c>
      <c r="F512">
        <v>7</v>
      </c>
      <c r="G512" s="83">
        <v>11.936917507233119</v>
      </c>
      <c r="H512" s="83">
        <v>8.0521597716999995</v>
      </c>
      <c r="I512" s="83">
        <v>657.81000000000063</v>
      </c>
      <c r="J512" s="83">
        <v>9.4821574793206445</v>
      </c>
      <c r="K512" s="83">
        <v>4.1220730330005511</v>
      </c>
      <c r="L512" s="83">
        <v>62.943004888747232</v>
      </c>
    </row>
    <row r="513" spans="1:12">
      <c r="A513" t="s">
        <v>731</v>
      </c>
      <c r="B513">
        <v>10512</v>
      </c>
      <c r="C513" s="83">
        <v>711.38000000000022</v>
      </c>
      <c r="D513" s="83">
        <v>51.471757722600486</v>
      </c>
      <c r="E513" s="83">
        <v>59.105068324224838</v>
      </c>
      <c r="F513">
        <v>7</v>
      </c>
      <c r="G513" s="83">
        <v>18.684212892184718</v>
      </c>
      <c r="H513" s="83">
        <v>8.7029782304100003</v>
      </c>
      <c r="I513" s="83">
        <v>657.81000000000063</v>
      </c>
      <c r="J513" s="83">
        <v>79.782453855831562</v>
      </c>
      <c r="K513" s="83">
        <v>7.3468846494858173</v>
      </c>
      <c r="L513" s="83">
        <v>56.115302387147516</v>
      </c>
    </row>
    <row r="514" spans="1:12">
      <c r="A514" t="s">
        <v>732</v>
      </c>
      <c r="B514">
        <v>10513</v>
      </c>
      <c r="C514" s="83">
        <v>714.95000000000039</v>
      </c>
      <c r="D514" s="83">
        <v>15.189803582696122</v>
      </c>
      <c r="E514" s="83">
        <v>48.594805173225673</v>
      </c>
      <c r="F514">
        <v>7</v>
      </c>
      <c r="G514" s="83">
        <v>24.709277787740813</v>
      </c>
      <c r="H514" s="83">
        <v>10.988630885800001</v>
      </c>
      <c r="I514" s="83">
        <v>652.36000000000047</v>
      </c>
      <c r="J514" s="83">
        <v>8.9544023202520329</v>
      </c>
      <c r="K514" s="83">
        <v>3.6885063947723693</v>
      </c>
      <c r="L514" s="83">
        <v>51.38750675816469</v>
      </c>
    </row>
    <row r="515" spans="1:12">
      <c r="A515" t="s">
        <v>733</v>
      </c>
      <c r="B515">
        <v>10514</v>
      </c>
      <c r="C515" s="83">
        <v>720.52000000000021</v>
      </c>
      <c r="D515" s="83">
        <v>9.0558440563597813</v>
      </c>
      <c r="E515" s="83">
        <v>70.388755320745446</v>
      </c>
      <c r="F515">
        <v>7</v>
      </c>
      <c r="G515" s="83">
        <v>11.392299107154884</v>
      </c>
      <c r="H515" s="83">
        <v>11.721967645300001</v>
      </c>
      <c r="I515" s="83">
        <v>652.36000000000047</v>
      </c>
      <c r="J515" s="83">
        <v>0.85144452253002567</v>
      </c>
      <c r="K515" s="83">
        <v>1.7249999655000008</v>
      </c>
      <c r="L515" s="83">
        <v>74.08080187338345</v>
      </c>
    </row>
    <row r="516" spans="1:12">
      <c r="A516" t="s">
        <v>734</v>
      </c>
      <c r="B516">
        <v>10515</v>
      </c>
      <c r="C516" s="83">
        <v>716.33000000000015</v>
      </c>
      <c r="D516" s="83">
        <v>9.6399646291091319</v>
      </c>
      <c r="E516" s="83">
        <v>58.173844502930685</v>
      </c>
      <c r="F516">
        <v>7</v>
      </c>
      <c r="G516" s="83">
        <v>9.3077000772312353</v>
      </c>
      <c r="H516" s="83">
        <v>12.0675748292</v>
      </c>
      <c r="I516" s="83">
        <v>641.18000000000086</v>
      </c>
      <c r="J516" s="83">
        <v>0.91105117822902359</v>
      </c>
      <c r="K516" s="83">
        <v>2.6215000786450022</v>
      </c>
      <c r="L516" s="83">
        <v>60.920100978601695</v>
      </c>
    </row>
    <row r="517" spans="1:12">
      <c r="A517" t="s">
        <v>735</v>
      </c>
      <c r="B517">
        <v>10516</v>
      </c>
      <c r="C517" s="83">
        <v>708.60000000000014</v>
      </c>
      <c r="D517" s="83">
        <v>8.5433406572042259</v>
      </c>
      <c r="E517" s="83">
        <v>69.090452453079379</v>
      </c>
      <c r="F517">
        <v>7</v>
      </c>
      <c r="G517" s="83">
        <v>18.096799727063907</v>
      </c>
      <c r="H517" s="83">
        <v>12.629082479100001</v>
      </c>
      <c r="I517" s="83">
        <v>641.18000000000086</v>
      </c>
      <c r="J517" s="83">
        <v>13.207451258988876</v>
      </c>
      <c r="K517" s="83">
        <v>1.1103999777920004</v>
      </c>
      <c r="L517" s="83">
        <v>69.93480008930068</v>
      </c>
    </row>
    <row r="518" spans="1:12">
      <c r="A518" t="s">
        <v>736</v>
      </c>
      <c r="B518">
        <v>10517</v>
      </c>
      <c r="C518" s="83">
        <v>706.6900000000004</v>
      </c>
      <c r="D518" s="83">
        <v>26.485724912045306</v>
      </c>
      <c r="E518" s="83">
        <v>62.374283220618551</v>
      </c>
      <c r="F518">
        <v>7</v>
      </c>
      <c r="G518" s="83">
        <v>10.597200595915664</v>
      </c>
      <c r="H518" s="83">
        <v>11.1455069081</v>
      </c>
      <c r="I518" s="83">
        <v>639.47000000000071</v>
      </c>
      <c r="J518" s="83">
        <v>13.636172926262921</v>
      </c>
      <c r="K518" s="83">
        <v>6.9944002098320066</v>
      </c>
      <c r="L518" s="83">
        <v>65.406799689205869</v>
      </c>
    </row>
    <row r="519" spans="1:12">
      <c r="A519" t="s">
        <v>737</v>
      </c>
      <c r="B519">
        <v>10518</v>
      </c>
      <c r="C519" s="83">
        <v>701.5300000000002</v>
      </c>
      <c r="D519" s="83">
        <v>21.486416445079993</v>
      </c>
      <c r="E519" s="83">
        <v>42.83163645558848</v>
      </c>
      <c r="F519">
        <v>7</v>
      </c>
      <c r="G519" s="83">
        <v>28.513779125855645</v>
      </c>
      <c r="H519" s="83">
        <v>10.592108313100001</v>
      </c>
      <c r="I519" s="83">
        <v>639.47000000000071</v>
      </c>
      <c r="J519" s="83">
        <v>3.7974063033404053</v>
      </c>
      <c r="K519" s="83">
        <v>4.1091633082006753</v>
      </c>
      <c r="L519" s="83">
        <v>43.358489478365762</v>
      </c>
    </row>
    <row r="520" spans="1:12">
      <c r="A520" t="s">
        <v>738</v>
      </c>
      <c r="B520">
        <v>10519</v>
      </c>
      <c r="C520" s="83">
        <v>681.13000000000011</v>
      </c>
      <c r="D520" s="83">
        <v>27.092392811252381</v>
      </c>
      <c r="E520" s="83">
        <v>67.539900630068345</v>
      </c>
      <c r="F520">
        <v>7</v>
      </c>
      <c r="G520" s="83">
        <v>9.9349067154977568</v>
      </c>
      <c r="H520" s="83">
        <v>9.7860519076599992</v>
      </c>
      <c r="I520" s="83">
        <v>657.42000000000041</v>
      </c>
      <c r="J520" s="83">
        <v>46.648359091065487</v>
      </c>
      <c r="K520" s="83">
        <v>5.5549719057368856</v>
      </c>
      <c r="L520" s="83">
        <v>63.29454127576436</v>
      </c>
    </row>
    <row r="521" spans="1:12">
      <c r="A521" t="s">
        <v>739</v>
      </c>
      <c r="B521">
        <v>10520</v>
      </c>
      <c r="C521" s="83">
        <v>670.37000000000046</v>
      </c>
      <c r="D521" s="83">
        <v>21.062715752397956</v>
      </c>
      <c r="E521" s="83">
        <v>73.792445496203769</v>
      </c>
      <c r="F521">
        <v>7</v>
      </c>
      <c r="G521" s="83">
        <v>5.2651083363732196</v>
      </c>
      <c r="H521" s="83">
        <v>9.3274510606899987</v>
      </c>
      <c r="I521" s="83">
        <v>657.42000000000041</v>
      </c>
      <c r="J521" s="83">
        <v>40.5882698457348</v>
      </c>
      <c r="K521" s="83">
        <v>9.2602991661658791</v>
      </c>
      <c r="L521" s="83">
        <v>62.680767377020317</v>
      </c>
    </row>
    <row r="522" spans="1:12">
      <c r="A522" t="s">
        <v>740</v>
      </c>
      <c r="B522">
        <v>10521</v>
      </c>
      <c r="C522" s="83">
        <v>664.4500000000005</v>
      </c>
      <c r="D522" s="83">
        <v>10.70270893485363</v>
      </c>
      <c r="E522" s="83">
        <v>67.037697068080845</v>
      </c>
      <c r="F522">
        <v>7</v>
      </c>
      <c r="G522" s="83">
        <v>7.2070204739745938</v>
      </c>
      <c r="H522" s="83">
        <v>11.402344365000001</v>
      </c>
      <c r="I522" s="83">
        <v>671.71000000000049</v>
      </c>
      <c r="J522" s="83">
        <v>3.979131890099326</v>
      </c>
      <c r="K522" s="83">
        <v>4.0335411450956746</v>
      </c>
      <c r="L522" s="83">
        <v>72.689877980417862</v>
      </c>
    </row>
    <row r="523" spans="1:12">
      <c r="A523" t="s">
        <v>741</v>
      </c>
      <c r="B523">
        <v>10522</v>
      </c>
      <c r="C523" s="83">
        <v>664.50000000000034</v>
      </c>
      <c r="D523" s="83">
        <v>3.6969626681740384</v>
      </c>
      <c r="E523" s="83">
        <v>69.104575854968431</v>
      </c>
      <c r="F523">
        <v>7</v>
      </c>
      <c r="G523" s="83">
        <v>7.9438196245652755</v>
      </c>
      <c r="H523" s="83">
        <v>14.9194838846</v>
      </c>
      <c r="I523" s="83">
        <v>671.71000000000049</v>
      </c>
      <c r="J523" s="83">
        <v>0.98151516894466351</v>
      </c>
      <c r="K523" s="83">
        <v>2.6347215955143488</v>
      </c>
      <c r="L523" s="83">
        <v>69.698605887148517</v>
      </c>
    </row>
    <row r="524" spans="1:12">
      <c r="A524" t="s">
        <v>742</v>
      </c>
      <c r="B524">
        <v>10523</v>
      </c>
      <c r="C524" s="83">
        <v>661.42000000000041</v>
      </c>
      <c r="D524" s="83">
        <v>6.5423105247048436</v>
      </c>
      <c r="E524" s="83">
        <v>66.753198701013361</v>
      </c>
      <c r="F524">
        <v>7</v>
      </c>
      <c r="G524" s="83">
        <v>8.8106337311375711</v>
      </c>
      <c r="H524" s="83">
        <v>13.506428999700001</v>
      </c>
      <c r="I524" s="83">
        <v>668.54000000000053</v>
      </c>
      <c r="J524" s="83">
        <v>3.0035176206268694</v>
      </c>
      <c r="K524" s="83">
        <v>1.5025045035719733</v>
      </c>
      <c r="L524" s="83">
        <v>66.827258831063148</v>
      </c>
    </row>
    <row r="525" spans="1:12">
      <c r="A525" t="s">
        <v>743</v>
      </c>
      <c r="B525">
        <v>10524</v>
      </c>
      <c r="C525" s="83">
        <v>661.50000000000034</v>
      </c>
      <c r="D525" s="83">
        <v>26.433042727595929</v>
      </c>
      <c r="E525" s="83">
        <v>76.571613155744359</v>
      </c>
      <c r="F525">
        <v>7</v>
      </c>
      <c r="G525" s="83">
        <v>8.5732640907381654</v>
      </c>
      <c r="H525" s="83">
        <v>11.944869649900001</v>
      </c>
      <c r="I525" s="83">
        <v>668.54000000000053</v>
      </c>
      <c r="J525" s="83">
        <v>13.988965163317795</v>
      </c>
      <c r="K525" s="83">
        <v>2.1798108309484645</v>
      </c>
      <c r="L525" s="83">
        <v>76.491112232359654</v>
      </c>
    </row>
    <row r="526" spans="1:12">
      <c r="A526" t="s">
        <v>744</v>
      </c>
      <c r="B526">
        <v>10525</v>
      </c>
      <c r="C526" s="83">
        <v>683.38000000000011</v>
      </c>
      <c r="D526" s="83">
        <v>62.731105654929507</v>
      </c>
      <c r="E526" s="83">
        <v>5.8076988892453763</v>
      </c>
      <c r="F526">
        <v>8</v>
      </c>
      <c r="G526" s="83">
        <v>39.448354312123129</v>
      </c>
      <c r="H526" s="83">
        <v>7.1812973398199995</v>
      </c>
      <c r="I526" s="83">
        <v>644.50000000000068</v>
      </c>
      <c r="J526" s="83">
        <v>93.5687153689654</v>
      </c>
      <c r="K526" s="83">
        <v>1.2202000168556337</v>
      </c>
      <c r="L526" s="83">
        <v>7.4113980356974603</v>
      </c>
    </row>
    <row r="527" spans="1:12">
      <c r="A527" t="s">
        <v>745</v>
      </c>
      <c r="B527">
        <v>10526</v>
      </c>
      <c r="C527" s="83">
        <v>685.20000000000039</v>
      </c>
      <c r="D527" s="83">
        <v>39.391546247423108</v>
      </c>
      <c r="E527" s="83">
        <v>35.590140712973579</v>
      </c>
      <c r="F527">
        <v>8</v>
      </c>
      <c r="G527" s="83">
        <v>33.626248078040149</v>
      </c>
      <c r="H527" s="83">
        <v>7.7457294564999994</v>
      </c>
      <c r="I527" s="83">
        <v>644.50000000000068</v>
      </c>
      <c r="J527" s="83">
        <v>83.782454764616048</v>
      </c>
      <c r="K527" s="83">
        <v>4.284602315976815</v>
      </c>
      <c r="L527" s="83">
        <v>35.660182286714168</v>
      </c>
    </row>
    <row r="528" spans="1:12">
      <c r="A528" t="s">
        <v>746</v>
      </c>
      <c r="B528">
        <v>10527</v>
      </c>
      <c r="C528" s="83">
        <v>673.60000000000014</v>
      </c>
      <c r="D528" s="83">
        <v>44.614843794075092</v>
      </c>
      <c r="E528" s="83">
        <v>34.090280196790779</v>
      </c>
      <c r="F528">
        <v>7</v>
      </c>
      <c r="G528" s="83">
        <v>16.469421579138537</v>
      </c>
      <c r="H528" s="83">
        <v>7.1359396737099994</v>
      </c>
      <c r="I528" s="83">
        <v>643.9800000000007</v>
      </c>
      <c r="J528" s="83">
        <v>73.263877958710381</v>
      </c>
      <c r="K528" s="83">
        <v>7.0875000831991652</v>
      </c>
      <c r="L528" s="83">
        <v>35.804175758126384</v>
      </c>
    </row>
    <row r="529" spans="1:12">
      <c r="A529" t="s">
        <v>747</v>
      </c>
      <c r="B529">
        <v>10528</v>
      </c>
      <c r="C529" s="83">
        <v>682.33000000000027</v>
      </c>
      <c r="D529" s="83">
        <v>50.909490323813387</v>
      </c>
      <c r="E529" s="83">
        <v>71.60962010233871</v>
      </c>
      <c r="F529">
        <v>7</v>
      </c>
      <c r="G529" s="83">
        <v>11.862356093872764</v>
      </c>
      <c r="H529" s="83">
        <v>9.1813157318099989</v>
      </c>
      <c r="I529" s="83">
        <v>643.9800000000007</v>
      </c>
      <c r="J529" s="83">
        <v>4.1024222144034947</v>
      </c>
      <c r="K529" s="83">
        <v>2.447725417164325</v>
      </c>
      <c r="L529" s="83">
        <v>74.130547026977183</v>
      </c>
    </row>
    <row r="530" spans="1:12">
      <c r="A530" t="s">
        <v>748</v>
      </c>
      <c r="B530">
        <v>10529</v>
      </c>
      <c r="C530" s="83">
        <v>705.29000000000042</v>
      </c>
      <c r="D530" s="83">
        <v>23.350448008363685</v>
      </c>
      <c r="E530" s="83">
        <v>68.018790198909699</v>
      </c>
      <c r="F530">
        <v>7</v>
      </c>
      <c r="G530" s="83">
        <v>13.499812169895739</v>
      </c>
      <c r="H530" s="83">
        <v>11.3275943497</v>
      </c>
      <c r="I530" s="83">
        <v>642.25000000000068</v>
      </c>
      <c r="J530" s="83">
        <v>5.1855238164241468</v>
      </c>
      <c r="K530" s="83">
        <v>3.6200481922325625</v>
      </c>
      <c r="L530" s="83">
        <v>70.061660249296935</v>
      </c>
    </row>
    <row r="531" spans="1:12">
      <c r="A531" t="s">
        <v>749</v>
      </c>
      <c r="B531">
        <v>10530</v>
      </c>
      <c r="C531" s="83">
        <v>708.12000000000023</v>
      </c>
      <c r="D531" s="83">
        <v>10.157110209131167</v>
      </c>
      <c r="E531" s="83">
        <v>56.711283702870332</v>
      </c>
      <c r="F531">
        <v>7</v>
      </c>
      <c r="G531" s="83">
        <v>13.534400244278819</v>
      </c>
      <c r="H531" s="83">
        <v>11.856856541900001</v>
      </c>
      <c r="I531" s="83">
        <v>642.25000000000068</v>
      </c>
      <c r="J531" s="83">
        <v>1.1115542903670046</v>
      </c>
      <c r="K531" s="83">
        <v>3.8068998096550093</v>
      </c>
      <c r="L531" s="83">
        <v>58.843898585805334</v>
      </c>
    </row>
    <row r="532" spans="1:12">
      <c r="A532" t="s">
        <v>750</v>
      </c>
      <c r="B532">
        <v>10531</v>
      </c>
      <c r="C532" s="83">
        <v>702.68000000000029</v>
      </c>
      <c r="D532" s="83">
        <v>13.039904626287193</v>
      </c>
      <c r="E532" s="83">
        <v>47.595501556986051</v>
      </c>
      <c r="F532">
        <v>7</v>
      </c>
      <c r="G532" s="83">
        <v>11.261899786000365</v>
      </c>
      <c r="H532" s="83">
        <v>11.8512752603</v>
      </c>
      <c r="I532" s="83">
        <v>641.99000000000092</v>
      </c>
      <c r="J532" s="83">
        <v>2.3037777571850708</v>
      </c>
      <c r="K532" s="83">
        <v>3.9017000000000004</v>
      </c>
      <c r="L532" s="83">
        <v>50.412299641998125</v>
      </c>
    </row>
    <row r="533" spans="1:12">
      <c r="A533" t="s">
        <v>751</v>
      </c>
      <c r="B533">
        <v>10532</v>
      </c>
      <c r="C533" s="83">
        <v>703.7600000000001</v>
      </c>
      <c r="D533" s="83">
        <v>11.699303100665038</v>
      </c>
      <c r="E533" s="83">
        <v>68.036804675862797</v>
      </c>
      <c r="F533">
        <v>7</v>
      </c>
      <c r="G533" s="83">
        <v>9.2282000875893626</v>
      </c>
      <c r="H533" s="83">
        <v>11.795256285700001</v>
      </c>
      <c r="I533" s="83">
        <v>641.99000000000092</v>
      </c>
      <c r="J533" s="83">
        <v>13.730624817607254</v>
      </c>
      <c r="K533" s="83">
        <v>1.6136999193150041</v>
      </c>
      <c r="L533" s="83">
        <v>72.13640073017821</v>
      </c>
    </row>
    <row r="534" spans="1:12">
      <c r="A534" t="s">
        <v>752</v>
      </c>
      <c r="B534">
        <v>10533</v>
      </c>
      <c r="C534" s="83">
        <v>699.66000000000054</v>
      </c>
      <c r="D534" s="83">
        <v>9.7918738980133284</v>
      </c>
      <c r="E534" s="83">
        <v>68.885399269299114</v>
      </c>
      <c r="F534">
        <v>7</v>
      </c>
      <c r="G534" s="83">
        <v>12.997499894000219</v>
      </c>
      <c r="H534" s="83">
        <v>12.481377159300001</v>
      </c>
      <c r="I534" s="83">
        <v>642.04000000000065</v>
      </c>
      <c r="J534" s="83">
        <v>13.327485264573285</v>
      </c>
      <c r="K534" s="83">
        <v>3.1974</v>
      </c>
      <c r="L534" s="83">
        <v>67.763098513003513</v>
      </c>
    </row>
    <row r="535" spans="1:12">
      <c r="A535" t="s">
        <v>753</v>
      </c>
      <c r="B535">
        <v>10534</v>
      </c>
      <c r="C535" s="83">
        <v>681.5800000000005</v>
      </c>
      <c r="D535" s="83">
        <v>12.148695680237777</v>
      </c>
      <c r="E535" s="83">
        <v>56.973411521126273</v>
      </c>
      <c r="F535">
        <v>7</v>
      </c>
      <c r="G535" s="83">
        <v>9.6959996961998609</v>
      </c>
      <c r="H535" s="83">
        <v>11.871452914500001</v>
      </c>
      <c r="I535" s="83">
        <v>642.04000000000065</v>
      </c>
      <c r="J535" s="83">
        <v>3.7785459541865198</v>
      </c>
      <c r="K535" s="83">
        <v>3.405699829715009</v>
      </c>
      <c r="L535" s="83">
        <v>60.23010091949638</v>
      </c>
    </row>
    <row r="536" spans="1:12">
      <c r="A536" t="s">
        <v>754</v>
      </c>
      <c r="B536">
        <v>10535</v>
      </c>
      <c r="C536" s="83">
        <v>678.89000000000033</v>
      </c>
      <c r="D536" s="83">
        <v>17.849417941068808</v>
      </c>
      <c r="E536" s="83">
        <v>67.320954001228927</v>
      </c>
      <c r="F536">
        <v>7</v>
      </c>
      <c r="G536" s="83">
        <v>12.320499902000298</v>
      </c>
      <c r="H536" s="83">
        <v>11.181949555100001</v>
      </c>
      <c r="I536" s="83">
        <v>653.18000000000063</v>
      </c>
      <c r="J536" s="83">
        <v>3.1785398057677559</v>
      </c>
      <c r="K536" s="83">
        <v>1.8170999999999999</v>
      </c>
      <c r="L536" s="83">
        <v>71.078501451997766</v>
      </c>
    </row>
    <row r="537" spans="1:12">
      <c r="A537" t="s">
        <v>755</v>
      </c>
      <c r="B537">
        <v>10536</v>
      </c>
      <c r="C537" s="83">
        <v>672.63000000000034</v>
      </c>
      <c r="D537" s="83">
        <v>10.083781206172208</v>
      </c>
      <c r="E537" s="83">
        <v>68.806769620054666</v>
      </c>
      <c r="F537">
        <v>7</v>
      </c>
      <c r="G537" s="83">
        <v>12.936618742610369</v>
      </c>
      <c r="H537" s="83">
        <v>11.563270638200001</v>
      </c>
      <c r="I537" s="83">
        <v>653.18000000000063</v>
      </c>
      <c r="J537" s="83">
        <v>4.5597921727282289</v>
      </c>
      <c r="K537" s="83">
        <v>2.1005034143639514</v>
      </c>
      <c r="L537" s="83">
        <v>70.910764924300679</v>
      </c>
    </row>
    <row r="538" spans="1:12">
      <c r="A538" t="s">
        <v>756</v>
      </c>
      <c r="B538">
        <v>10537</v>
      </c>
      <c r="C538" s="83">
        <v>665.26000000000045</v>
      </c>
      <c r="D538" s="83">
        <v>5.6027498145816379</v>
      </c>
      <c r="E538" s="83">
        <v>54.021971979411866</v>
      </c>
      <c r="F538">
        <v>7</v>
      </c>
      <c r="G538" s="83">
        <v>23.19232695609287</v>
      </c>
      <c r="H538" s="83">
        <v>13.0864746554</v>
      </c>
      <c r="I538" s="83">
        <v>666.37000000000023</v>
      </c>
      <c r="J538" s="83">
        <v>1.5843777207511602</v>
      </c>
      <c r="K538" s="83">
        <v>4.5148506547332223</v>
      </c>
      <c r="L538" s="83">
        <v>56.94854611863672</v>
      </c>
    </row>
    <row r="539" spans="1:12">
      <c r="A539" t="s">
        <v>757</v>
      </c>
      <c r="B539">
        <v>10538</v>
      </c>
      <c r="C539" s="83">
        <v>667.1700000000003</v>
      </c>
      <c r="D539" s="83">
        <v>5.8551149224812171</v>
      </c>
      <c r="E539" s="83">
        <v>77.001285325255282</v>
      </c>
      <c r="F539">
        <v>7</v>
      </c>
      <c r="G539" s="83">
        <v>11.207620179228201</v>
      </c>
      <c r="H539" s="83">
        <v>14.325892852300001</v>
      </c>
      <c r="I539" s="83">
        <v>666.37000000000023</v>
      </c>
      <c r="J539" s="83">
        <v>4.2974418795548042</v>
      </c>
      <c r="K539" s="83">
        <v>1.8122073453606737</v>
      </c>
      <c r="L539" s="83">
        <v>78.269203116822808</v>
      </c>
    </row>
    <row r="540" spans="1:12">
      <c r="A540" t="s">
        <v>758</v>
      </c>
      <c r="B540">
        <v>10539</v>
      </c>
      <c r="C540" s="83">
        <v>675.70000000000016</v>
      </c>
      <c r="D540" s="83">
        <v>14.552036549218272</v>
      </c>
      <c r="E540" s="83">
        <v>54.498173834485662</v>
      </c>
      <c r="F540">
        <v>7</v>
      </c>
      <c r="G540" s="83">
        <v>18.857383617425711</v>
      </c>
      <c r="H540" s="83">
        <v>12.083936253800001</v>
      </c>
      <c r="I540" s="83">
        <v>682.07000000000062</v>
      </c>
      <c r="J540" s="83">
        <v>4.5154191930766423</v>
      </c>
      <c r="K540" s="83">
        <v>1.3991654274766032</v>
      </c>
      <c r="L540" s="83">
        <v>55.85705523119249</v>
      </c>
    </row>
    <row r="541" spans="1:12">
      <c r="A541" t="s">
        <v>759</v>
      </c>
      <c r="B541">
        <v>10540</v>
      </c>
      <c r="C541" s="83">
        <v>665.45000000000027</v>
      </c>
      <c r="D541" s="83">
        <v>17.114655940765015</v>
      </c>
      <c r="E541" s="83">
        <v>65.754829580483516</v>
      </c>
      <c r="F541">
        <v>7</v>
      </c>
      <c r="G541" s="83">
        <v>9.5052628659605229</v>
      </c>
      <c r="H541" s="83">
        <v>10.482082457400001</v>
      </c>
      <c r="I541" s="83">
        <v>682.07000000000062</v>
      </c>
      <c r="J541" s="83">
        <v>3.0317299735078391</v>
      </c>
      <c r="K541" s="83">
        <v>6.1803038110400363</v>
      </c>
      <c r="L541" s="83">
        <v>63.730822026826985</v>
      </c>
    </row>
    <row r="542" spans="1:12">
      <c r="A542" t="s">
        <v>760</v>
      </c>
      <c r="B542">
        <v>10541</v>
      </c>
      <c r="C542" s="83">
        <v>651.12000000000023</v>
      </c>
      <c r="D542" s="83">
        <v>13.96117569219358</v>
      </c>
      <c r="E542" s="83">
        <v>80.104024123841995</v>
      </c>
      <c r="F542">
        <v>7</v>
      </c>
      <c r="G542" s="83">
        <v>10.673819084361901</v>
      </c>
      <c r="H542" s="83">
        <v>11.827767375100001</v>
      </c>
      <c r="I542" s="83">
        <v>695.8400000000006</v>
      </c>
      <c r="J542" s="83">
        <v>0</v>
      </c>
      <c r="K542" s="83">
        <v>2.0535347738331815</v>
      </c>
      <c r="L542" s="83">
        <v>78.995813909969527</v>
      </c>
    </row>
    <row r="543" spans="1:12">
      <c r="A543" t="s">
        <v>761</v>
      </c>
      <c r="B543">
        <v>10542</v>
      </c>
      <c r="C543" s="83">
        <v>716.03999999999974</v>
      </c>
      <c r="D543" s="83">
        <v>55.509075124801313</v>
      </c>
      <c r="E543" s="83">
        <v>14.900112320369491</v>
      </c>
      <c r="F543">
        <v>8</v>
      </c>
      <c r="G543" s="83">
        <v>65.062073607650149</v>
      </c>
      <c r="H543" s="83">
        <v>8.2858957547899994</v>
      </c>
      <c r="I543" s="83">
        <v>653.6000000000007</v>
      </c>
      <c r="J543" s="83">
        <v>94.238292006921469</v>
      </c>
      <c r="K543" s="83">
        <v>4.2055838910817558</v>
      </c>
      <c r="L543" s="83">
        <v>17.375633845177514</v>
      </c>
    </row>
    <row r="544" spans="1:12">
      <c r="A544" t="s">
        <v>762</v>
      </c>
      <c r="B544">
        <v>10543</v>
      </c>
      <c r="C544" s="83">
        <v>686.05000000000041</v>
      </c>
      <c r="D544" s="83">
        <v>39.447417010361164</v>
      </c>
      <c r="E544" s="83">
        <v>41.017724476112754</v>
      </c>
      <c r="F544">
        <v>8</v>
      </c>
      <c r="G544" s="83">
        <v>25.869476387363665</v>
      </c>
      <c r="H544" s="83">
        <v>9.6374282753599996</v>
      </c>
      <c r="I544" s="83">
        <v>644.50000000000068</v>
      </c>
      <c r="J544" s="83">
        <v>83.854756456431474</v>
      </c>
      <c r="K544" s="83">
        <v>4.9301539361364703</v>
      </c>
      <c r="L544" s="83">
        <v>46.246281518400508</v>
      </c>
    </row>
    <row r="545" spans="1:12">
      <c r="A545" t="s">
        <v>763</v>
      </c>
      <c r="B545">
        <v>10544</v>
      </c>
      <c r="C545" s="83">
        <v>690.94000000000028</v>
      </c>
      <c r="D545" s="83">
        <v>42.989040219835246</v>
      </c>
      <c r="E545" s="83">
        <v>39.609617306015394</v>
      </c>
      <c r="F545">
        <v>8</v>
      </c>
      <c r="G545" s="83">
        <v>9.742393462152247</v>
      </c>
      <c r="H545" s="83">
        <v>8.4761202848499995</v>
      </c>
      <c r="I545" s="83">
        <v>644.50000000000068</v>
      </c>
      <c r="J545" s="83">
        <v>85.59427447184305</v>
      </c>
      <c r="K545" s="83">
        <v>6.9833375589043163</v>
      </c>
      <c r="L545" s="83">
        <v>60.240831729257359</v>
      </c>
    </row>
    <row r="546" spans="1:12">
      <c r="A546" t="s">
        <v>764</v>
      </c>
      <c r="B546">
        <v>10545</v>
      </c>
      <c r="C546" s="83">
        <v>681.36000000000024</v>
      </c>
      <c r="D546" s="83">
        <v>17.214866950451146</v>
      </c>
      <c r="E546" s="83">
        <v>57.901440381267427</v>
      </c>
      <c r="F546">
        <v>7</v>
      </c>
      <c r="G546" s="83">
        <v>21.99180455085099</v>
      </c>
      <c r="H546" s="83">
        <v>11.0119509129</v>
      </c>
      <c r="I546" s="83">
        <v>643.9800000000007</v>
      </c>
      <c r="J546" s="83">
        <v>89.729663481684369</v>
      </c>
      <c r="K546" s="83">
        <v>3.3956883794438943</v>
      </c>
      <c r="L546" s="83">
        <v>60.630415908037747</v>
      </c>
    </row>
    <row r="547" spans="1:12">
      <c r="A547" t="s">
        <v>765</v>
      </c>
      <c r="B547">
        <v>10546</v>
      </c>
      <c r="C547" s="83">
        <v>668.08000000000038</v>
      </c>
      <c r="D547" s="83">
        <v>30.21682886669609</v>
      </c>
      <c r="E547" s="83">
        <v>47.741410753422251</v>
      </c>
      <c r="F547">
        <v>7</v>
      </c>
      <c r="G547" s="83">
        <v>26.113987806216432</v>
      </c>
      <c r="H547" s="83">
        <v>10.1834901854</v>
      </c>
      <c r="I547" s="83">
        <v>643.9800000000007</v>
      </c>
      <c r="J547" s="83">
        <v>23.887405373297636</v>
      </c>
      <c r="K547" s="83">
        <v>7.4197776255966197</v>
      </c>
      <c r="L547" s="83">
        <v>48.78685278545143</v>
      </c>
    </row>
    <row r="548" spans="1:12">
      <c r="A548" t="s">
        <v>766</v>
      </c>
      <c r="B548">
        <v>10547</v>
      </c>
      <c r="C548" s="83">
        <v>696.0900000000006</v>
      </c>
      <c r="D548" s="83">
        <v>10.155086502876568</v>
      </c>
      <c r="E548" s="83">
        <v>45.583266978573377</v>
      </c>
      <c r="F548">
        <v>7</v>
      </c>
      <c r="G548" s="83">
        <v>27.276525218146972</v>
      </c>
      <c r="H548" s="83">
        <v>13.5165414031</v>
      </c>
      <c r="I548" s="83">
        <v>642.25000000000068</v>
      </c>
      <c r="J548" s="83">
        <v>0.2881029692636945</v>
      </c>
      <c r="K548" s="83">
        <v>4.927983021105609</v>
      </c>
      <c r="L548" s="83">
        <v>47.394070888867731</v>
      </c>
    </row>
    <row r="549" spans="1:12">
      <c r="A549" t="s">
        <v>767</v>
      </c>
      <c r="B549">
        <v>10548</v>
      </c>
      <c r="C549" s="83">
        <v>695.06000000000017</v>
      </c>
      <c r="D549" s="83">
        <v>11.869549768780356</v>
      </c>
      <c r="E549" s="83">
        <v>52.813903124799538</v>
      </c>
      <c r="F549">
        <v>7</v>
      </c>
      <c r="G549" s="83">
        <v>22.939000542218736</v>
      </c>
      <c r="H549" s="83">
        <v>13.3736022603</v>
      </c>
      <c r="I549" s="83">
        <v>642.25000000000068</v>
      </c>
      <c r="J549" s="83">
        <v>0.88921797301458394</v>
      </c>
      <c r="K549" s="83">
        <v>1.4138999717220004</v>
      </c>
      <c r="L549" s="83">
        <v>55.522000044560095</v>
      </c>
    </row>
    <row r="550" spans="1:12">
      <c r="A550" t="s">
        <v>768</v>
      </c>
      <c r="B550">
        <v>10549</v>
      </c>
      <c r="C550" s="83">
        <v>689.78000000000043</v>
      </c>
      <c r="D550" s="83">
        <v>3.6511705476341367</v>
      </c>
      <c r="E550" s="83">
        <v>62.323737634521379</v>
      </c>
      <c r="F550">
        <v>7</v>
      </c>
      <c r="G550" s="83">
        <v>17.514199367427153</v>
      </c>
      <c r="H550" s="83">
        <v>13.9452655276</v>
      </c>
      <c r="I550" s="83">
        <v>641.99000000000092</v>
      </c>
      <c r="J550" s="83">
        <v>1.0169562452496685</v>
      </c>
      <c r="K550" s="83">
        <v>1.113800033414001</v>
      </c>
      <c r="L550" s="83">
        <v>67.033000428991343</v>
      </c>
    </row>
    <row r="551" spans="1:12">
      <c r="A551" t="s">
        <v>769</v>
      </c>
      <c r="B551">
        <v>10550</v>
      </c>
      <c r="C551" s="83">
        <v>680.47000000000037</v>
      </c>
      <c r="D551" s="83">
        <v>8.0034494976872814</v>
      </c>
      <c r="E551" s="83">
        <v>49.725753220376568</v>
      </c>
      <c r="F551">
        <v>7</v>
      </c>
      <c r="G551" s="83">
        <v>13.127799400444365</v>
      </c>
      <c r="H551" s="83">
        <v>12.1968999436</v>
      </c>
      <c r="I551" s="83">
        <v>641.99000000000092</v>
      </c>
      <c r="J551" s="83">
        <v>1.1055659356947525</v>
      </c>
      <c r="K551" s="83">
        <v>0.72719998545600029</v>
      </c>
      <c r="L551" s="83">
        <v>54.345100307092189</v>
      </c>
    </row>
    <row r="552" spans="1:12">
      <c r="A552" t="s">
        <v>770</v>
      </c>
      <c r="B552">
        <v>10551</v>
      </c>
      <c r="C552" s="83">
        <v>688.4600000000006</v>
      </c>
      <c r="D552" s="83">
        <v>11.954998042087222</v>
      </c>
      <c r="E552" s="83">
        <v>64.049136074581909</v>
      </c>
      <c r="F552">
        <v>7</v>
      </c>
      <c r="G552" s="83">
        <v>9.0673001030192388</v>
      </c>
      <c r="H552" s="83">
        <v>12.6922956438</v>
      </c>
      <c r="I552" s="83">
        <v>642.04000000000065</v>
      </c>
      <c r="J552" s="83">
        <v>13.272138558168706</v>
      </c>
      <c r="K552" s="83">
        <v>1.0507000315210009</v>
      </c>
      <c r="L552" s="83">
        <v>66.691100954733813</v>
      </c>
    </row>
    <row r="553" spans="1:12">
      <c r="A553" t="s">
        <v>771</v>
      </c>
      <c r="B553">
        <v>10552</v>
      </c>
      <c r="C553" s="83">
        <v>727.03000000000043</v>
      </c>
      <c r="D553" s="83">
        <v>4.2569044725607297</v>
      </c>
      <c r="E553" s="83">
        <v>60.537219506122419</v>
      </c>
      <c r="F553">
        <v>7</v>
      </c>
      <c r="G553" s="83">
        <v>13.246573566824189</v>
      </c>
      <c r="H553" s="83">
        <v>13.0961148402</v>
      </c>
      <c r="I553" s="83">
        <v>642.04000000000065</v>
      </c>
      <c r="J553" s="83">
        <v>0.45231926867486083</v>
      </c>
      <c r="K553" s="83">
        <v>1.4553566058188021</v>
      </c>
      <c r="L553" s="83">
        <v>64.052115349101584</v>
      </c>
    </row>
    <row r="554" spans="1:12">
      <c r="A554" t="s">
        <v>772</v>
      </c>
      <c r="B554">
        <v>10553</v>
      </c>
      <c r="C554" s="83">
        <v>715.76000000000033</v>
      </c>
      <c r="D554" s="83">
        <v>10.539784614259421</v>
      </c>
      <c r="E554" s="83">
        <v>57.308846338259904</v>
      </c>
      <c r="F554">
        <v>7</v>
      </c>
      <c r="G554" s="83">
        <v>11.246685450453732</v>
      </c>
      <c r="H554" s="83">
        <v>11.4402307518</v>
      </c>
      <c r="I554" s="83">
        <v>653.18000000000063</v>
      </c>
      <c r="J554" s="83">
        <v>3.0702840886264888</v>
      </c>
      <c r="K554" s="83">
        <v>6.8359854455350808</v>
      </c>
      <c r="L554" s="83">
        <v>55.579546841591643</v>
      </c>
    </row>
    <row r="555" spans="1:12">
      <c r="A555" t="s">
        <v>773</v>
      </c>
      <c r="B555">
        <v>10554</v>
      </c>
      <c r="C555" s="83">
        <v>685.4300000000004</v>
      </c>
      <c r="D555" s="83">
        <v>4.022074386737656</v>
      </c>
      <c r="E555" s="83">
        <v>65.085386882673873</v>
      </c>
      <c r="F555">
        <v>7</v>
      </c>
      <c r="G555" s="83">
        <v>8.2027873542535517</v>
      </c>
      <c r="H555" s="83">
        <v>12.415193306400001</v>
      </c>
      <c r="I555" s="83">
        <v>653.18000000000063</v>
      </c>
      <c r="J555" s="83">
        <v>1.7418160615169802</v>
      </c>
      <c r="K555" s="83">
        <v>2.3082954552145938</v>
      </c>
      <c r="L555" s="83">
        <v>67.759278473175016</v>
      </c>
    </row>
    <row r="556" spans="1:12">
      <c r="A556" t="s">
        <v>774</v>
      </c>
      <c r="B556">
        <v>10555</v>
      </c>
      <c r="C556" s="83">
        <v>656.56000000000051</v>
      </c>
      <c r="D556" s="83">
        <v>10.892537720227836</v>
      </c>
      <c r="E556" s="83">
        <v>52.308658522451303</v>
      </c>
      <c r="F556">
        <v>7</v>
      </c>
      <c r="G556" s="83">
        <v>15.137742028832427</v>
      </c>
      <c r="H556" s="83">
        <v>11.2877652709</v>
      </c>
      <c r="I556" s="83">
        <v>666.37000000000023</v>
      </c>
      <c r="J556" s="83">
        <v>1.6183217682517748</v>
      </c>
      <c r="K556" s="83">
        <v>3.2189319610309797</v>
      </c>
      <c r="L556" s="83">
        <v>55.659767376303307</v>
      </c>
    </row>
    <row r="557" spans="1:12">
      <c r="A557" t="s">
        <v>775</v>
      </c>
      <c r="B557">
        <v>10556</v>
      </c>
      <c r="C557" s="83">
        <v>640.22000000000048</v>
      </c>
      <c r="D557" s="83">
        <v>4.5573946200996751</v>
      </c>
      <c r="E557" s="83">
        <v>77.379525555943928</v>
      </c>
      <c r="F557">
        <v>7</v>
      </c>
      <c r="G557" s="83">
        <v>10.081267036596772</v>
      </c>
      <c r="H557" s="83">
        <v>14.3456912715</v>
      </c>
      <c r="I557" s="83">
        <v>666.37000000000023</v>
      </c>
      <c r="J557" s="83">
        <v>2.683853256501282</v>
      </c>
      <c r="K557" s="83">
        <v>3.5859397789506864</v>
      </c>
      <c r="L557" s="83">
        <v>77.708172937354007</v>
      </c>
    </row>
    <row r="558" spans="1:12">
      <c r="A558" t="s">
        <v>776</v>
      </c>
      <c r="B558">
        <v>10557</v>
      </c>
      <c r="C558" s="83">
        <v>653.29000000000019</v>
      </c>
      <c r="D558" s="83">
        <v>4.9255006751902641</v>
      </c>
      <c r="E558" s="83">
        <v>76.152502636592445</v>
      </c>
      <c r="F558">
        <v>7</v>
      </c>
      <c r="G558" s="83">
        <v>8.5012798264756402</v>
      </c>
      <c r="H558" s="83">
        <v>14.160087393100001</v>
      </c>
      <c r="I558" s="83">
        <v>682.07000000000062</v>
      </c>
      <c r="J558" s="83">
        <v>2.8558425339280529</v>
      </c>
      <c r="K558" s="83">
        <v>1.24870489471567</v>
      </c>
      <c r="L558" s="83">
        <v>76.460320161667354</v>
      </c>
    </row>
    <row r="559" spans="1:12">
      <c r="A559" t="s">
        <v>777</v>
      </c>
      <c r="B559">
        <v>10558</v>
      </c>
      <c r="C559" s="83">
        <v>657.10000000000025</v>
      </c>
      <c r="D559" s="83">
        <v>17.743754370711784</v>
      </c>
      <c r="E559" s="83">
        <v>51.077763841691905</v>
      </c>
      <c r="F559">
        <v>7</v>
      </c>
      <c r="G559" s="83">
        <v>37.771123762480414</v>
      </c>
      <c r="H559" s="83">
        <v>12.1949514073</v>
      </c>
      <c r="I559" s="83">
        <v>682.07000000000062</v>
      </c>
      <c r="J559" s="83">
        <v>0</v>
      </c>
      <c r="K559" s="83">
        <v>6.4433727647601495</v>
      </c>
      <c r="L559" s="83">
        <v>51.202299344905441</v>
      </c>
    </row>
    <row r="560" spans="1:12">
      <c r="A560" t="s">
        <v>778</v>
      </c>
      <c r="B560">
        <v>10559</v>
      </c>
      <c r="C560" s="83">
        <v>647.33000000000038</v>
      </c>
      <c r="D560" s="83">
        <v>20.015997645999626</v>
      </c>
      <c r="E560" s="83">
        <v>48.383789993886623</v>
      </c>
      <c r="F560">
        <v>7</v>
      </c>
      <c r="G560" s="83">
        <v>18.278750280462056</v>
      </c>
      <c r="H560" s="83">
        <v>9.9301849131399997</v>
      </c>
      <c r="I560" s="83">
        <v>695.8400000000006</v>
      </c>
      <c r="J560" s="83">
        <v>2.008346761979646</v>
      </c>
      <c r="K560" s="83">
        <v>11.31629786347129</v>
      </c>
      <c r="L560" s="83">
        <v>45.954816618001338</v>
      </c>
    </row>
    <row r="561" spans="1:12">
      <c r="A561" t="s">
        <v>779</v>
      </c>
      <c r="B561">
        <v>10560</v>
      </c>
      <c r="C561" s="83">
        <v>715.62000000000012</v>
      </c>
      <c r="D561" s="83">
        <v>46.410184407089538</v>
      </c>
      <c r="E561" s="83">
        <v>54.262060007215723</v>
      </c>
      <c r="F561">
        <v>8</v>
      </c>
      <c r="G561" s="83">
        <v>31.390707300102704</v>
      </c>
      <c r="H561" s="83">
        <v>9.6423425280599986</v>
      </c>
      <c r="I561" s="83">
        <v>644.68000000000075</v>
      </c>
      <c r="J561" s="83">
        <v>93.27920766912311</v>
      </c>
      <c r="K561" s="83">
        <v>2.5356679147847299</v>
      </c>
      <c r="L561" s="83">
        <v>55.982092592840701</v>
      </c>
    </row>
    <row r="562" spans="1:12">
      <c r="A562" t="s">
        <v>780</v>
      </c>
      <c r="B562">
        <v>10561</v>
      </c>
      <c r="C562" s="83">
        <v>717.48000000000013</v>
      </c>
      <c r="D562" s="83">
        <v>30.370965859519615</v>
      </c>
      <c r="E562" s="83">
        <v>33.358173751386424</v>
      </c>
      <c r="F562">
        <v>8</v>
      </c>
      <c r="G562" s="83">
        <v>12.374701050239777</v>
      </c>
      <c r="H562" s="83">
        <v>9.9048723315899991</v>
      </c>
      <c r="I562" s="83">
        <v>634.19000000000074</v>
      </c>
      <c r="J562" s="83">
        <v>90.665472429077738</v>
      </c>
      <c r="K562" s="83">
        <v>5.1114001533420046</v>
      </c>
      <c r="L562" s="83">
        <v>35.620799618625334</v>
      </c>
    </row>
    <row r="563" spans="1:12">
      <c r="A563" t="s">
        <v>781</v>
      </c>
      <c r="B563">
        <v>10562</v>
      </c>
      <c r="C563" s="83">
        <v>731.56000000000017</v>
      </c>
      <c r="D563" s="83">
        <v>41.636860308763147</v>
      </c>
      <c r="E563" s="83">
        <v>22.667077728499329</v>
      </c>
      <c r="F563">
        <v>8</v>
      </c>
      <c r="G563" s="83">
        <v>22.905400491215818</v>
      </c>
      <c r="H563" s="83">
        <v>8.4464999821699998</v>
      </c>
      <c r="I563" s="83">
        <v>634.19000000000074</v>
      </c>
      <c r="J563" s="83">
        <v>92.620577465194813</v>
      </c>
      <c r="K563" s="83">
        <v>4.1106001644240067</v>
      </c>
      <c r="L563" s="83">
        <v>25.819101746757827</v>
      </c>
    </row>
    <row r="564" spans="1:12">
      <c r="A564" t="s">
        <v>782</v>
      </c>
      <c r="B564">
        <v>10563</v>
      </c>
      <c r="C564" s="83">
        <v>731.61000000000013</v>
      </c>
      <c r="D564" s="83">
        <v>37.291136264289932</v>
      </c>
      <c r="E564" s="83">
        <v>46.578436222302329</v>
      </c>
      <c r="F564">
        <v>8</v>
      </c>
      <c r="G564" s="83">
        <v>19.867198755326157</v>
      </c>
      <c r="H564" s="83">
        <v>9.9465300985200003</v>
      </c>
      <c r="I564" s="83">
        <v>635.94000000000062</v>
      </c>
      <c r="J564" s="83">
        <v>55.472036663254634</v>
      </c>
      <c r="K564" s="83">
        <v>3.1621999683780002</v>
      </c>
      <c r="L564" s="83">
        <v>48.506701373933645</v>
      </c>
    </row>
    <row r="565" spans="1:12">
      <c r="A565" t="s">
        <v>783</v>
      </c>
      <c r="B565">
        <v>10564</v>
      </c>
      <c r="C565" s="83">
        <v>716.09</v>
      </c>
      <c r="D565" s="83">
        <v>27.018323328366833</v>
      </c>
      <c r="E565" s="83">
        <v>45.235935888556128</v>
      </c>
      <c r="F565">
        <v>7</v>
      </c>
      <c r="G565" s="83">
        <v>22.628799022152172</v>
      </c>
      <c r="H565" s="83">
        <v>10.7873666414</v>
      </c>
      <c r="I565" s="83">
        <v>635.94000000000062</v>
      </c>
      <c r="J565" s="83">
        <v>18.728821724129364</v>
      </c>
      <c r="K565" s="83">
        <v>10.049000401960017</v>
      </c>
      <c r="L565" s="83">
        <v>43.407902652315038</v>
      </c>
    </row>
    <row r="566" spans="1:12">
      <c r="A566" t="s">
        <v>784</v>
      </c>
      <c r="B566">
        <v>10565</v>
      </c>
      <c r="C566" s="83">
        <v>697.2600000000001</v>
      </c>
      <c r="D566" s="83">
        <v>12.742293075049108</v>
      </c>
      <c r="E566" s="83">
        <v>45.23885862026458</v>
      </c>
      <c r="F566">
        <v>7</v>
      </c>
      <c r="G566" s="83">
        <v>28.919999747377695</v>
      </c>
      <c r="H566" s="83">
        <v>13.364975746900001</v>
      </c>
      <c r="I566" s="83">
        <v>646.87000000000057</v>
      </c>
      <c r="J566" s="83">
        <v>0.63420527439936591</v>
      </c>
      <c r="K566" s="83">
        <v>3.9379001575160064</v>
      </c>
      <c r="L566" s="83">
        <v>47.174701611994827</v>
      </c>
    </row>
    <row r="567" spans="1:12">
      <c r="A567" t="s">
        <v>785</v>
      </c>
      <c r="B567">
        <v>10566</v>
      </c>
      <c r="C567" s="83">
        <v>686.32000000000028</v>
      </c>
      <c r="D567" s="83">
        <v>2.6991154306326388</v>
      </c>
      <c r="E567" s="83">
        <v>42.407576944098793</v>
      </c>
      <c r="F567">
        <v>7</v>
      </c>
      <c r="G567" s="83">
        <v>34.134553093976386</v>
      </c>
      <c r="H567" s="83">
        <v>15.480416232000001</v>
      </c>
      <c r="I567" s="83">
        <v>646.87000000000057</v>
      </c>
      <c r="J567" s="83">
        <v>0.94555864253361133</v>
      </c>
      <c r="K567" s="83">
        <v>1.2120088816426147</v>
      </c>
      <c r="L567" s="83">
        <v>46.329815381126387</v>
      </c>
    </row>
    <row r="568" spans="1:12">
      <c r="A568" t="s">
        <v>786</v>
      </c>
      <c r="B568">
        <v>10567</v>
      </c>
      <c r="C568" s="83">
        <v>671.83000000000027</v>
      </c>
      <c r="D568" s="83">
        <v>9.7794894878430139</v>
      </c>
      <c r="E568" s="83">
        <v>21.790986622392726</v>
      </c>
      <c r="F568">
        <v>7</v>
      </c>
      <c r="G568" s="83">
        <v>55.559131902962243</v>
      </c>
      <c r="H568" s="83">
        <v>12.2399929135</v>
      </c>
      <c r="I568" s="83">
        <v>644.74000000000092</v>
      </c>
      <c r="J568" s="83">
        <v>0</v>
      </c>
      <c r="K568" s="83">
        <v>14.905268114993614</v>
      </c>
      <c r="L568" s="83">
        <v>21.219633885114302</v>
      </c>
    </row>
    <row r="569" spans="1:12">
      <c r="A569" t="s">
        <v>787</v>
      </c>
      <c r="B569">
        <v>10568</v>
      </c>
      <c r="C569" s="83">
        <v>667.5300000000002</v>
      </c>
      <c r="D569" s="83">
        <v>6.1760238782957915</v>
      </c>
      <c r="E569" s="83">
        <v>58.430888476812136</v>
      </c>
      <c r="F569">
        <v>7</v>
      </c>
      <c r="G569" s="83">
        <v>16.379171547151945</v>
      </c>
      <c r="H569" s="83">
        <v>12.369114228900001</v>
      </c>
      <c r="I569" s="83">
        <v>644.74000000000092</v>
      </c>
      <c r="J569" s="83">
        <v>0.27872783465101941</v>
      </c>
      <c r="K569" s="83">
        <v>2.5903473419418441</v>
      </c>
      <c r="L569" s="83">
        <v>60.87999841500946</v>
      </c>
    </row>
    <row r="570" spans="1:12">
      <c r="A570" t="s">
        <v>788</v>
      </c>
      <c r="B570">
        <v>10569</v>
      </c>
      <c r="C570" s="83">
        <v>681.34000000000015</v>
      </c>
      <c r="D570" s="83">
        <v>2.9701408314076625</v>
      </c>
      <c r="E570" s="83">
        <v>73.191893044779661</v>
      </c>
      <c r="F570">
        <v>7</v>
      </c>
      <c r="G570" s="83">
        <v>11.069200127767905</v>
      </c>
      <c r="H570" s="83">
        <v>14.2188902549</v>
      </c>
      <c r="I570" s="83">
        <v>646.24000000000069</v>
      </c>
      <c r="J570" s="83">
        <v>0.57098332111432315</v>
      </c>
      <c r="K570" s="83">
        <v>0.95610003824400158</v>
      </c>
      <c r="L570" s="83">
        <v>75.107998934320946</v>
      </c>
    </row>
    <row r="571" spans="1:12">
      <c r="A571" t="s">
        <v>789</v>
      </c>
      <c r="B571">
        <v>10570</v>
      </c>
      <c r="C571" s="83">
        <v>718.82000000000039</v>
      </c>
      <c r="D571" s="83">
        <v>0.17126835716785666</v>
      </c>
      <c r="E571" s="83">
        <v>56.616540944337586</v>
      </c>
      <c r="F571">
        <v>7</v>
      </c>
      <c r="G571" s="83">
        <v>11.303210713758091</v>
      </c>
      <c r="H571" s="83">
        <v>13.976549309700001</v>
      </c>
      <c r="I571" s="83">
        <v>646.24000000000069</v>
      </c>
      <c r="J571" s="83">
        <v>0</v>
      </c>
      <c r="K571" s="83">
        <v>0.59010412772317611</v>
      </c>
      <c r="L571" s="83">
        <v>58.504896479332182</v>
      </c>
    </row>
    <row r="572" spans="1:12">
      <c r="A572" t="s">
        <v>790</v>
      </c>
      <c r="B572">
        <v>10571</v>
      </c>
      <c r="C572" s="83">
        <v>700.87000000000057</v>
      </c>
      <c r="D572" s="83">
        <v>1.5530553388719694</v>
      </c>
      <c r="E572" s="83">
        <v>51.746227831961143</v>
      </c>
      <c r="F572">
        <v>7</v>
      </c>
      <c r="G572" s="83">
        <v>15.287562569751623</v>
      </c>
      <c r="H572" s="83">
        <v>13.5536482475</v>
      </c>
      <c r="I572" s="83">
        <v>663.9500000000005</v>
      </c>
      <c r="J572" s="83">
        <v>0</v>
      </c>
      <c r="K572" s="83">
        <v>3.4064152102465122</v>
      </c>
      <c r="L572" s="83">
        <v>55.557666334799315</v>
      </c>
    </row>
    <row r="573" spans="1:12">
      <c r="A573" t="s">
        <v>791</v>
      </c>
      <c r="B573">
        <v>10572</v>
      </c>
      <c r="C573" s="83">
        <v>677.2100000000006</v>
      </c>
      <c r="D573" s="83">
        <v>21.923683256517037</v>
      </c>
      <c r="E573" s="83">
        <v>51.635898942647486</v>
      </c>
      <c r="F573">
        <v>7</v>
      </c>
      <c r="G573" s="83">
        <v>10.223808952557603</v>
      </c>
      <c r="H573" s="83">
        <v>10.544053138400001</v>
      </c>
      <c r="I573" s="83">
        <v>663.9500000000005</v>
      </c>
      <c r="J573" s="83">
        <v>0.56551123702268491</v>
      </c>
      <c r="K573" s="83">
        <v>25.77182968457533</v>
      </c>
      <c r="L573" s="83">
        <v>28.567583200697605</v>
      </c>
    </row>
    <row r="574" spans="1:12">
      <c r="A574" t="s">
        <v>792</v>
      </c>
      <c r="B574">
        <v>10573</v>
      </c>
      <c r="C574" s="83">
        <v>643.59000000000049</v>
      </c>
      <c r="D574" s="83">
        <v>3.2876908945030943</v>
      </c>
      <c r="E574" s="83">
        <v>76.380716655684296</v>
      </c>
      <c r="F574">
        <v>7</v>
      </c>
      <c r="G574" s="83">
        <v>11.673588464085817</v>
      </c>
      <c r="H574" s="83">
        <v>15.0897147171</v>
      </c>
      <c r="I574" s="83">
        <v>669.8200000000005</v>
      </c>
      <c r="J574" s="83">
        <v>0.16894526158066456</v>
      </c>
      <c r="K574" s="83">
        <v>1.7382985220761309</v>
      </c>
      <c r="L574" s="83">
        <v>77.653674204002854</v>
      </c>
    </row>
    <row r="575" spans="1:12">
      <c r="A575" t="s">
        <v>793</v>
      </c>
      <c r="B575">
        <v>10574</v>
      </c>
      <c r="C575" s="83">
        <v>614.11000000000013</v>
      </c>
      <c r="D575" s="83">
        <v>0.97409736743516095</v>
      </c>
      <c r="E575" s="83">
        <v>55.78254926902779</v>
      </c>
      <c r="F575">
        <v>7</v>
      </c>
      <c r="G575" s="83">
        <v>8.9851275168611799</v>
      </c>
      <c r="H575" s="83">
        <v>16.4232645646</v>
      </c>
      <c r="I575" s="83">
        <v>669.8200000000005</v>
      </c>
      <c r="J575" s="83">
        <v>1.7908810794062326</v>
      </c>
      <c r="K575" s="83">
        <v>3.016005226241822</v>
      </c>
      <c r="L575" s="83">
        <v>56.207681458428951</v>
      </c>
    </row>
    <row r="576" spans="1:12">
      <c r="A576" t="s">
        <v>794</v>
      </c>
      <c r="B576">
        <v>10575</v>
      </c>
      <c r="C576" s="83">
        <v>735.91</v>
      </c>
      <c r="D576" s="83">
        <v>50.548170303728696</v>
      </c>
      <c r="E576" s="83">
        <v>21.858135098733367</v>
      </c>
      <c r="F576">
        <v>8</v>
      </c>
      <c r="G576" s="83">
        <v>46.044464314750613</v>
      </c>
      <c r="H576" s="83">
        <v>8.247217631449999</v>
      </c>
      <c r="I576" s="83">
        <v>644.68000000000075</v>
      </c>
      <c r="J576" s="83">
        <v>99.869052784792672</v>
      </c>
      <c r="K576" s="83">
        <v>5.5290722363678402</v>
      </c>
      <c r="L576" s="83">
        <v>23.28355299634925</v>
      </c>
    </row>
    <row r="577" spans="1:12">
      <c r="A577" t="s">
        <v>795</v>
      </c>
      <c r="B577">
        <v>10576</v>
      </c>
      <c r="C577" s="83">
        <v>732.03000000000043</v>
      </c>
      <c r="D577" s="83">
        <v>43.63853263130499</v>
      </c>
      <c r="E577" s="83">
        <v>36.509664725051735</v>
      </c>
      <c r="F577">
        <v>8</v>
      </c>
      <c r="G577" s="83">
        <v>11.155999318880788</v>
      </c>
      <c r="H577" s="83">
        <v>8.3970974292999987</v>
      </c>
      <c r="I577" s="83">
        <v>634.19000000000074</v>
      </c>
      <c r="J577" s="83">
        <v>96.966152014816714</v>
      </c>
      <c r="K577" s="83">
        <v>4.2524999149500013</v>
      </c>
      <c r="L577" s="83">
        <v>39.704298612910677</v>
      </c>
    </row>
    <row r="578" spans="1:12">
      <c r="A578" t="s">
        <v>796</v>
      </c>
      <c r="B578">
        <v>10577</v>
      </c>
      <c r="C578" s="83">
        <v>730.29000000000019</v>
      </c>
      <c r="D578" s="83">
        <v>41.313347099390469</v>
      </c>
      <c r="E578" s="83">
        <v>35.732721733016916</v>
      </c>
      <c r="F578">
        <v>8</v>
      </c>
      <c r="G578" s="83">
        <v>21.81987202718274</v>
      </c>
      <c r="H578" s="83">
        <v>9.3548328052900001</v>
      </c>
      <c r="I578" s="83">
        <v>634.19000000000074</v>
      </c>
      <c r="J578" s="83">
        <v>55.382571128792058</v>
      </c>
      <c r="K578" s="83">
        <v>3.5163157445308575</v>
      </c>
      <c r="L578" s="83">
        <v>39.088829462958543</v>
      </c>
    </row>
    <row r="579" spans="1:12">
      <c r="A579" t="s">
        <v>797</v>
      </c>
      <c r="B579">
        <v>10578</v>
      </c>
      <c r="C579" s="83">
        <v>739.14000000000021</v>
      </c>
      <c r="D579" s="83">
        <v>41.91792681901434</v>
      </c>
      <c r="E579" s="83">
        <v>15.010432038596432</v>
      </c>
      <c r="F579">
        <v>8</v>
      </c>
      <c r="G579" s="83">
        <v>35.216300689021843</v>
      </c>
      <c r="H579" s="83">
        <v>10.2640943485</v>
      </c>
      <c r="I579" s="83">
        <v>635.94000000000062</v>
      </c>
      <c r="J579" s="83">
        <v>57.422423320403446</v>
      </c>
      <c r="K579" s="83">
        <v>4.3812997371220161</v>
      </c>
      <c r="L579" s="83">
        <v>16.597298418159934</v>
      </c>
    </row>
    <row r="580" spans="1:12">
      <c r="A580" t="s">
        <v>798</v>
      </c>
      <c r="B580">
        <v>10579</v>
      </c>
      <c r="C580" s="83">
        <v>737.19000000000028</v>
      </c>
      <c r="D580" s="83">
        <v>15.968690667378192</v>
      </c>
      <c r="E580" s="83">
        <v>3.1641016721897204</v>
      </c>
      <c r="F580">
        <v>7</v>
      </c>
      <c r="G580" s="83">
        <v>53.98499953515055</v>
      </c>
      <c r="H580" s="83">
        <v>12.118118493800001</v>
      </c>
      <c r="I580" s="83">
        <v>635.94000000000062</v>
      </c>
      <c r="J580" s="83">
        <v>0</v>
      </c>
      <c r="K580" s="83">
        <v>4.2206999577930002</v>
      </c>
      <c r="L580" s="83">
        <v>3.6748005922542522</v>
      </c>
    </row>
    <row r="581" spans="1:12">
      <c r="A581" t="s">
        <v>799</v>
      </c>
      <c r="B581">
        <v>10580</v>
      </c>
      <c r="C581" s="83">
        <v>723.16000000000054</v>
      </c>
      <c r="D581" s="83">
        <v>0.60849457185850242</v>
      </c>
      <c r="E581" s="83">
        <v>4.5592070527320931</v>
      </c>
      <c r="F581">
        <v>7</v>
      </c>
      <c r="G581" s="83">
        <v>66.097698470024326</v>
      </c>
      <c r="H581" s="83">
        <v>13.789288347300001</v>
      </c>
      <c r="I581" s="83">
        <v>646.87000000000057</v>
      </c>
      <c r="J581" s="83">
        <v>0</v>
      </c>
      <c r="K581" s="83">
        <v>2.887499971125</v>
      </c>
      <c r="L581" s="83">
        <v>3.6423003195776431</v>
      </c>
    </row>
    <row r="582" spans="1:12">
      <c r="A582" t="s">
        <v>800</v>
      </c>
      <c r="B582">
        <v>10581</v>
      </c>
      <c r="C582" s="83">
        <v>684.56000000000017</v>
      </c>
      <c r="D582" s="83">
        <v>8.2951519182303457</v>
      </c>
      <c r="E582" s="83">
        <v>3.8643162282933976</v>
      </c>
      <c r="F582">
        <v>7</v>
      </c>
      <c r="G582" s="83">
        <v>63.880088134654429</v>
      </c>
      <c r="H582" s="83">
        <v>12.0807138853</v>
      </c>
      <c r="I582" s="83">
        <v>646.87000000000057</v>
      </c>
      <c r="J582" s="83">
        <v>0</v>
      </c>
      <c r="K582" s="83">
        <v>5.1135857699500882</v>
      </c>
      <c r="L582" s="83">
        <v>3.9483455662618892</v>
      </c>
    </row>
    <row r="583" spans="1:12">
      <c r="A583" t="s">
        <v>801</v>
      </c>
      <c r="B583">
        <v>10582</v>
      </c>
      <c r="C583" s="83">
        <v>668.05000000000041</v>
      </c>
      <c r="D583" s="83">
        <v>1.1027411993792391</v>
      </c>
      <c r="E583" s="83">
        <v>56.803419076316047</v>
      </c>
      <c r="F583">
        <v>7</v>
      </c>
      <c r="G583" s="83">
        <v>9.6838469573618831</v>
      </c>
      <c r="H583" s="83">
        <v>13.110323211300001</v>
      </c>
      <c r="I583" s="83">
        <v>644.74000000000092</v>
      </c>
      <c r="J583" s="83">
        <v>0</v>
      </c>
      <c r="K583" s="83">
        <v>1.5700082383702945</v>
      </c>
      <c r="L583" s="83">
        <v>59.559180604778462</v>
      </c>
    </row>
    <row r="584" spans="1:12">
      <c r="A584" t="s">
        <v>802</v>
      </c>
      <c r="B584">
        <v>10583</v>
      </c>
      <c r="C584" s="83">
        <v>660.84000000000037</v>
      </c>
      <c r="D584" s="83">
        <v>5.4749542690859868E-2</v>
      </c>
      <c r="E584" s="83">
        <v>76.821729858782405</v>
      </c>
      <c r="F584">
        <v>7</v>
      </c>
      <c r="G584" s="83">
        <v>10.544714490377773</v>
      </c>
      <c r="H584" s="83">
        <v>14.8929642712</v>
      </c>
      <c r="I584" s="83">
        <v>646.24000000000069</v>
      </c>
      <c r="J584" s="83">
        <v>0</v>
      </c>
      <c r="K584" s="83">
        <v>0.18811731832374384</v>
      </c>
      <c r="L584" s="83">
        <v>79.903280948565907</v>
      </c>
    </row>
    <row r="585" spans="1:12">
      <c r="A585" t="s">
        <v>803</v>
      </c>
      <c r="B585">
        <v>10584</v>
      </c>
      <c r="C585" s="83">
        <v>664.77000000000044</v>
      </c>
      <c r="D585" s="83">
        <v>0.28105786850080006</v>
      </c>
      <c r="E585" s="83">
        <v>72.468761541312233</v>
      </c>
      <c r="F585">
        <v>7</v>
      </c>
      <c r="G585" s="83">
        <v>16.884926858521784</v>
      </c>
      <c r="H585" s="83">
        <v>13.841882372100001</v>
      </c>
      <c r="I585" s="83">
        <v>646.24000000000069</v>
      </c>
      <c r="J585" s="83">
        <v>0</v>
      </c>
      <c r="K585" s="83">
        <v>1.4759468733054009</v>
      </c>
      <c r="L585" s="83">
        <v>72.899692016345242</v>
      </c>
    </row>
    <row r="586" spans="1:12">
      <c r="A586" t="s">
        <v>804</v>
      </c>
      <c r="B586">
        <v>10585</v>
      </c>
      <c r="C586" s="83">
        <v>683.74000000000046</v>
      </c>
      <c r="D586" s="83">
        <v>2.5867248706015222</v>
      </c>
      <c r="E586" s="83">
        <v>74.409316598375426</v>
      </c>
      <c r="F586">
        <v>7</v>
      </c>
      <c r="G586" s="83">
        <v>9.0083563948560528</v>
      </c>
      <c r="H586" s="83">
        <v>16.679663230799999</v>
      </c>
      <c r="I586" s="83">
        <v>663.9500000000005</v>
      </c>
      <c r="J586" s="83">
        <v>12.531629889869885</v>
      </c>
      <c r="K586" s="83">
        <v>1.9708744569234671</v>
      </c>
      <c r="L586" s="83">
        <v>75.066184260577401</v>
      </c>
    </row>
    <row r="587" spans="1:12">
      <c r="A587" t="s">
        <v>805</v>
      </c>
      <c r="B587">
        <v>10586</v>
      </c>
      <c r="C587" s="83">
        <v>677.06000000000029</v>
      </c>
      <c r="D587" s="83">
        <v>1.2114854012709466</v>
      </c>
      <c r="E587" s="83">
        <v>77.456240287706038</v>
      </c>
      <c r="F587">
        <v>7</v>
      </c>
      <c r="G587" s="83">
        <v>12.558137357957758</v>
      </c>
      <c r="H587" s="83">
        <v>18.4041726351</v>
      </c>
      <c r="I587" s="83">
        <v>669.8200000000005</v>
      </c>
      <c r="J587" s="83">
        <v>10.460010652632556</v>
      </c>
      <c r="K587" s="83">
        <v>1.6178745354805784</v>
      </c>
      <c r="L587" s="83">
        <v>78.18068851912156</v>
      </c>
    </row>
    <row r="588" spans="1:12">
      <c r="A588" t="s">
        <v>806</v>
      </c>
      <c r="B588">
        <v>10587</v>
      </c>
      <c r="C588" s="83">
        <v>718.39000000000021</v>
      </c>
      <c r="D588" s="83">
        <v>39.813483523657382</v>
      </c>
      <c r="E588" s="83">
        <v>8.1553181648215247</v>
      </c>
      <c r="F588">
        <v>8</v>
      </c>
      <c r="G588" s="83">
        <v>45.636423069852633</v>
      </c>
      <c r="H588" s="83">
        <v>9.2630919763099993</v>
      </c>
      <c r="I588" s="83">
        <v>646.1400000000009</v>
      </c>
      <c r="J588" s="83">
        <v>96.759472871676536</v>
      </c>
      <c r="K588" s="83">
        <v>4.9450384722014862</v>
      </c>
      <c r="L588" s="83">
        <v>9.4005582253086502</v>
      </c>
    </row>
    <row r="589" spans="1:12">
      <c r="A589" t="s">
        <v>807</v>
      </c>
      <c r="B589">
        <v>10588</v>
      </c>
      <c r="C589" s="83">
        <v>738.2800000000002</v>
      </c>
      <c r="D589" s="83">
        <v>30.763228388601636</v>
      </c>
      <c r="E589" s="83">
        <v>17.796490957392859</v>
      </c>
      <c r="F589">
        <v>8</v>
      </c>
      <c r="G589" s="83">
        <v>49.870665856247527</v>
      </c>
      <c r="H589" s="83">
        <v>10.161758021400001</v>
      </c>
      <c r="I589" s="83">
        <v>646.1400000000009</v>
      </c>
      <c r="J589" s="83">
        <v>56.863276978253332</v>
      </c>
      <c r="K589" s="83">
        <v>2.7146469978036145</v>
      </c>
      <c r="L589" s="83">
        <v>19.968164733340117</v>
      </c>
    </row>
    <row r="590" spans="1:12">
      <c r="A590" t="s">
        <v>808</v>
      </c>
      <c r="B590">
        <v>10589</v>
      </c>
      <c r="C590" s="83">
        <v>741.00000000000023</v>
      </c>
      <c r="D590" s="83">
        <v>45.21829242480311</v>
      </c>
      <c r="E590" s="83">
        <v>12.877842912457226</v>
      </c>
      <c r="F590">
        <v>8</v>
      </c>
      <c r="G590" s="83">
        <v>40.46126272044264</v>
      </c>
      <c r="H590" s="83">
        <v>10.3653153159</v>
      </c>
      <c r="I590" s="83">
        <v>652.2300000000007</v>
      </c>
      <c r="J590" s="83">
        <v>0</v>
      </c>
      <c r="K590" s="83">
        <v>4.8513096986325968</v>
      </c>
      <c r="L590" s="83">
        <v>12.82206039779506</v>
      </c>
    </row>
    <row r="591" spans="1:12">
      <c r="A591" t="s">
        <v>809</v>
      </c>
      <c r="B591">
        <v>10590</v>
      </c>
      <c r="C591" s="83">
        <v>742.2900000000003</v>
      </c>
      <c r="D591" s="83">
        <v>18.816660770231199</v>
      </c>
      <c r="E591" s="83">
        <v>2.0050807985307117</v>
      </c>
      <c r="F591">
        <v>7</v>
      </c>
      <c r="G591" s="83">
        <v>64.061281083527874</v>
      </c>
      <c r="H591" s="83">
        <v>11.6012852331</v>
      </c>
      <c r="I591" s="83">
        <v>652.2300000000007</v>
      </c>
      <c r="J591" s="83">
        <v>0</v>
      </c>
      <c r="K591" s="83">
        <v>3.0500213025163614</v>
      </c>
      <c r="L591" s="83">
        <v>3.0001192939739885</v>
      </c>
    </row>
    <row r="592" spans="1:12">
      <c r="A592" t="s">
        <v>810</v>
      </c>
      <c r="B592">
        <v>10591</v>
      </c>
      <c r="C592" s="83">
        <v>727.00000000000023</v>
      </c>
      <c r="D592" s="83">
        <v>6.1370518825495122</v>
      </c>
      <c r="E592" s="83">
        <v>0.2548184229455055</v>
      </c>
      <c r="F592">
        <v>7</v>
      </c>
      <c r="G592" s="83">
        <v>75.655851484976381</v>
      </c>
      <c r="H592" s="83">
        <v>11.413474579400001</v>
      </c>
      <c r="I592" s="83">
        <v>657.65000000000066</v>
      </c>
      <c r="J592" s="83">
        <v>0</v>
      </c>
      <c r="K592" s="83">
        <v>4.0401859126605366</v>
      </c>
      <c r="L592" s="83">
        <v>0.13332202778985866</v>
      </c>
    </row>
    <row r="593" spans="1:12">
      <c r="A593" t="s">
        <v>811</v>
      </c>
      <c r="B593">
        <v>10592</v>
      </c>
      <c r="C593" s="83">
        <v>690.93000000000052</v>
      </c>
      <c r="D593" s="83">
        <v>12.29162427032599</v>
      </c>
      <c r="E593" s="83">
        <v>34.514322699093363</v>
      </c>
      <c r="F593">
        <v>7</v>
      </c>
      <c r="G593" s="83">
        <v>33.486015286606047</v>
      </c>
      <c r="H593" s="83">
        <v>10.9455506369</v>
      </c>
      <c r="I593" s="83">
        <v>657.65000000000066</v>
      </c>
      <c r="J593" s="83">
        <v>0</v>
      </c>
      <c r="K593" s="83">
        <v>7.1780150423036204</v>
      </c>
      <c r="L593" s="83">
        <v>15.148653876194443</v>
      </c>
    </row>
    <row r="594" spans="1:12">
      <c r="A594" t="s">
        <v>812</v>
      </c>
      <c r="B594">
        <v>10593</v>
      </c>
      <c r="C594" s="83">
        <v>687.84000000000037</v>
      </c>
      <c r="D594" s="83">
        <v>4.1259978880268209</v>
      </c>
      <c r="E594" s="83">
        <v>69.092620367442166</v>
      </c>
      <c r="F594">
        <v>7</v>
      </c>
      <c r="G594" s="83">
        <v>5.2436242708587706</v>
      </c>
      <c r="H594" s="83">
        <v>15.713405104200001</v>
      </c>
      <c r="I594" s="83">
        <v>669.80000000000018</v>
      </c>
      <c r="J594" s="83">
        <v>0</v>
      </c>
      <c r="K594" s="83">
        <v>1.6538610587355458</v>
      </c>
      <c r="L594" s="83">
        <v>68.744554045135999</v>
      </c>
    </row>
    <row r="595" spans="1:12">
      <c r="A595" t="s">
        <v>813</v>
      </c>
      <c r="B595">
        <v>10594</v>
      </c>
      <c r="C595" s="83">
        <v>682.91000000000031</v>
      </c>
      <c r="D595" s="83">
        <v>14.346633020641727</v>
      </c>
      <c r="E595" s="83">
        <v>60.397996379153682</v>
      </c>
      <c r="F595">
        <v>7</v>
      </c>
      <c r="G595" s="83">
        <v>8.0387822676957352</v>
      </c>
      <c r="H595" s="83">
        <v>13.815434829300001</v>
      </c>
      <c r="I595" s="83">
        <v>673.99000000000035</v>
      </c>
      <c r="J595" s="83">
        <v>13.020694578297764</v>
      </c>
      <c r="K595" s="83">
        <v>8.2578397309350962</v>
      </c>
      <c r="L595" s="83">
        <v>59.21159696940439</v>
      </c>
    </row>
    <row r="596" spans="1:12">
      <c r="A596" t="s">
        <v>814</v>
      </c>
      <c r="B596">
        <v>10595</v>
      </c>
      <c r="C596" s="83">
        <v>711.99000000000012</v>
      </c>
      <c r="D596" s="83">
        <v>0.48667571331608506</v>
      </c>
      <c r="E596" s="83">
        <v>78.757194622710387</v>
      </c>
      <c r="F596">
        <v>7</v>
      </c>
      <c r="G596" s="83">
        <v>12.64622269054548</v>
      </c>
      <c r="H596" s="83">
        <v>12.1548913691</v>
      </c>
      <c r="I596" s="83">
        <v>657.65000000000066</v>
      </c>
      <c r="J596" s="83">
        <v>0</v>
      </c>
      <c r="K596" s="83">
        <v>46.569216764609408</v>
      </c>
      <c r="L596" s="83">
        <v>0.20170280509264599</v>
      </c>
    </row>
    <row r="597" spans="1:12">
      <c r="A597" t="s">
        <v>815</v>
      </c>
      <c r="B597">
        <v>10596</v>
      </c>
      <c r="C597" s="83">
        <v>701.52000000000021</v>
      </c>
      <c r="D597" s="83">
        <v>7.9834987211191991E-2</v>
      </c>
      <c r="E597" s="83">
        <v>19.668187220021675</v>
      </c>
      <c r="F597">
        <v>7</v>
      </c>
      <c r="G597" s="83">
        <v>57.401841286964775</v>
      </c>
      <c r="H597" s="83">
        <v>13.490376750700001</v>
      </c>
      <c r="I597" s="83">
        <v>657.65000000000066</v>
      </c>
      <c r="J597" s="83">
        <v>0</v>
      </c>
      <c r="K597" s="83">
        <v>13.363938118887935</v>
      </c>
      <c r="L597" s="83">
        <v>3.2338542842783506</v>
      </c>
    </row>
    <row r="598" spans="1:12">
      <c r="A598" t="s">
        <v>816</v>
      </c>
      <c r="B598">
        <v>10597</v>
      </c>
      <c r="C598" s="83">
        <v>673.61000000000035</v>
      </c>
      <c r="D598" s="83">
        <v>10.238426119541323</v>
      </c>
      <c r="E598" s="83">
        <v>22.427397607908567</v>
      </c>
      <c r="F598">
        <v>9</v>
      </c>
      <c r="G598" s="83">
        <v>23.930407923834245</v>
      </c>
      <c r="H598" s="83">
        <v>12.484754972800001</v>
      </c>
      <c r="I598" s="83">
        <v>686.96000000000072</v>
      </c>
      <c r="J598" s="83">
        <v>4.0523464940947216</v>
      </c>
      <c r="K598" s="83">
        <v>25.523487434228343</v>
      </c>
      <c r="L598" s="83">
        <v>27.596929967299239</v>
      </c>
    </row>
    <row r="599" spans="1:12">
      <c r="A599" t="s">
        <v>817</v>
      </c>
      <c r="B599">
        <v>10598</v>
      </c>
      <c r="C599" s="83">
        <v>714.1800000000004</v>
      </c>
      <c r="D599" s="83">
        <v>10.889582951430743</v>
      </c>
      <c r="E599" s="83">
        <v>63.365226333930551</v>
      </c>
      <c r="F599">
        <v>9</v>
      </c>
      <c r="G599" s="83">
        <v>9.6955512820669352</v>
      </c>
      <c r="H599" s="83">
        <v>12.446325167100001</v>
      </c>
      <c r="I599" s="83">
        <v>686.96000000000072</v>
      </c>
      <c r="J599" s="83">
        <v>5.176003535576668</v>
      </c>
      <c r="K599" s="83">
        <v>2.689111169163215</v>
      </c>
      <c r="L599" s="83">
        <v>66.324669282841214</v>
      </c>
    </row>
    <row r="600" spans="1:12">
      <c r="A600" t="s">
        <v>818</v>
      </c>
      <c r="B600">
        <v>10599</v>
      </c>
      <c r="C600" s="83">
        <v>733.22000000000025</v>
      </c>
      <c r="D600" s="83">
        <v>16.431500095993925</v>
      </c>
      <c r="E600" s="83">
        <v>57.602186420203779</v>
      </c>
      <c r="F600">
        <v>9</v>
      </c>
      <c r="G600" s="83">
        <v>18.546371603801411</v>
      </c>
      <c r="H600" s="83">
        <v>11.7470998982</v>
      </c>
      <c r="I600" s="83">
        <v>680.3700000000008</v>
      </c>
      <c r="J600" s="83">
        <v>4.447872457096639</v>
      </c>
      <c r="K600" s="83">
        <v>1.0200359237044292</v>
      </c>
      <c r="L600" s="83">
        <v>59.293368160291962</v>
      </c>
    </row>
    <row r="601" spans="1:12">
      <c r="A601" t="s">
        <v>819</v>
      </c>
      <c r="B601">
        <v>10600</v>
      </c>
      <c r="C601" s="83">
        <v>713.72</v>
      </c>
      <c r="D601" s="83">
        <v>40.764523706029266</v>
      </c>
      <c r="E601" s="83">
        <v>34.729624744513806</v>
      </c>
      <c r="F601">
        <v>9</v>
      </c>
      <c r="G601" s="83">
        <v>18.878658278135461</v>
      </c>
      <c r="H601" s="83">
        <v>9.2939429869500003</v>
      </c>
      <c r="I601" s="83">
        <v>680.3700000000008</v>
      </c>
      <c r="J601" s="83">
        <v>3.4715118258195234</v>
      </c>
      <c r="K601" s="83">
        <v>0.11956854475958902</v>
      </c>
      <c r="L601" s="83">
        <v>37.855799761703459</v>
      </c>
    </row>
    <row r="602" spans="1:12">
      <c r="A602" t="s">
        <v>820</v>
      </c>
      <c r="B602">
        <v>10601</v>
      </c>
      <c r="C602" s="83">
        <v>771.94000000000028</v>
      </c>
      <c r="D602" s="83">
        <v>2.8017919849387081</v>
      </c>
      <c r="E602" s="83">
        <v>51.759066901773515</v>
      </c>
      <c r="F602">
        <v>9</v>
      </c>
      <c r="G602" s="83">
        <v>9.4480291730647661</v>
      </c>
      <c r="H602" s="83">
        <v>13.3681715524</v>
      </c>
      <c r="I602" s="83">
        <v>686.96000000000072</v>
      </c>
      <c r="J602" s="83">
        <v>0.60163121548793341</v>
      </c>
      <c r="K602" s="83">
        <v>2.5666549793215592</v>
      </c>
      <c r="L602" s="83">
        <v>54.115018260555978</v>
      </c>
    </row>
    <row r="603" spans="1:12">
      <c r="A603" t="s">
        <v>821</v>
      </c>
      <c r="B603">
        <v>10602</v>
      </c>
      <c r="C603" s="83">
        <v>805.56000000000006</v>
      </c>
      <c r="D603" s="83">
        <v>13.655773836412463</v>
      </c>
      <c r="E603" s="83">
        <v>54.365609082159494</v>
      </c>
      <c r="F603">
        <v>9</v>
      </c>
      <c r="G603" s="83">
        <v>7.5897000916177655</v>
      </c>
      <c r="H603" s="83">
        <v>11.237069101400001</v>
      </c>
      <c r="I603" s="83">
        <v>680.3700000000008</v>
      </c>
      <c r="J603" s="83">
        <v>2.6465460727463155</v>
      </c>
      <c r="K603" s="83">
        <v>2.1170998729740078</v>
      </c>
      <c r="L603" s="83">
        <v>56.524101094548087</v>
      </c>
    </row>
    <row r="604" spans="1:12">
      <c r="A604" t="s">
        <v>822</v>
      </c>
      <c r="B604">
        <v>10603</v>
      </c>
      <c r="C604" s="83">
        <v>740.76000000000022</v>
      </c>
      <c r="D604" s="83">
        <v>4.1128466405369126</v>
      </c>
      <c r="E604" s="83">
        <v>70.897468376370725</v>
      </c>
      <c r="F604">
        <v>9</v>
      </c>
      <c r="G604" s="83">
        <v>11.214000490284603</v>
      </c>
      <c r="H604" s="83">
        <v>13.811891172400001</v>
      </c>
      <c r="I604" s="83">
        <v>680.3700000000008</v>
      </c>
      <c r="J604" s="83">
        <v>3.2169435358207874</v>
      </c>
      <c r="K604" s="83">
        <v>0.86349288275076286</v>
      </c>
      <c r="L604" s="83">
        <v>74.752068880103479</v>
      </c>
    </row>
    <row r="605" spans="1:12">
      <c r="A605" t="s">
        <v>823</v>
      </c>
      <c r="B605">
        <v>10604</v>
      </c>
      <c r="C605" s="83">
        <v>787.6800000000004</v>
      </c>
      <c r="D605" s="83">
        <v>1.8336820926508828</v>
      </c>
      <c r="E605" s="83">
        <v>69.080400512974137</v>
      </c>
      <c r="F605">
        <v>9</v>
      </c>
      <c r="G605" s="83">
        <v>10.344117147372703</v>
      </c>
      <c r="H605" s="83">
        <v>16.011244929900002</v>
      </c>
      <c r="I605" s="83">
        <v>679.65000000000077</v>
      </c>
      <c r="J605" s="83">
        <v>0</v>
      </c>
      <c r="K605" s="83">
        <v>7.1507668038921963</v>
      </c>
      <c r="L605" s="83">
        <v>72.634417530495611</v>
      </c>
    </row>
    <row r="606" spans="1:12">
      <c r="A606" t="s">
        <v>824</v>
      </c>
      <c r="B606">
        <v>10605</v>
      </c>
      <c r="C606" s="83">
        <v>784.45000000000027</v>
      </c>
      <c r="D606" s="83">
        <v>12.230838927011604</v>
      </c>
      <c r="E606" s="83">
        <v>52.011404100375032</v>
      </c>
      <c r="F606">
        <v>9</v>
      </c>
      <c r="G606" s="83">
        <v>7.7241395985848591</v>
      </c>
      <c r="H606" s="83">
        <v>12.874346175700001</v>
      </c>
      <c r="I606" s="83">
        <v>672.49000000000069</v>
      </c>
      <c r="J606" s="83">
        <v>0</v>
      </c>
      <c r="K606" s="83">
        <v>1.6533639147554509</v>
      </c>
      <c r="L606" s="83">
        <v>54.701502870503219</v>
      </c>
    </row>
    <row r="607" spans="1:12">
      <c r="A607" t="s">
        <v>825</v>
      </c>
      <c r="B607">
        <v>10606</v>
      </c>
      <c r="C607" s="83">
        <v>737.12000000000035</v>
      </c>
      <c r="D607" s="83">
        <v>18.654097445620568</v>
      </c>
      <c r="E607" s="83">
        <v>65.53828008816609</v>
      </c>
      <c r="F607">
        <v>9</v>
      </c>
      <c r="G607" s="83">
        <v>9.3696595990129197</v>
      </c>
      <c r="H607" s="83">
        <v>12.828422381600001</v>
      </c>
      <c r="I607" s="83">
        <v>672.49000000000069</v>
      </c>
      <c r="J607" s="83">
        <v>0.71144806082491574</v>
      </c>
      <c r="K607" s="83">
        <v>1.0208024553770771</v>
      </c>
      <c r="L607" s="83">
        <v>68.167587605521376</v>
      </c>
    </row>
    <row r="608" spans="1:12">
      <c r="A608" t="s">
        <v>826</v>
      </c>
      <c r="B608">
        <v>10607</v>
      </c>
      <c r="C608" s="83">
        <v>690.56000000000017</v>
      </c>
      <c r="D608" s="83">
        <v>2.9742765273403031</v>
      </c>
      <c r="E608" s="83">
        <v>0</v>
      </c>
      <c r="F608">
        <v>9</v>
      </c>
      <c r="G608" s="83">
        <v>16.186401259053774</v>
      </c>
      <c r="H608" s="83">
        <v>12.8019292623</v>
      </c>
      <c r="I608" s="83">
        <v>679.65000000000077</v>
      </c>
      <c r="J608" s="83">
        <v>0</v>
      </c>
      <c r="K608" s="83">
        <v>0.74997042602128439</v>
      </c>
      <c r="L608" s="83">
        <v>0</v>
      </c>
    </row>
    <row r="609" spans="1:12">
      <c r="A609" t="s">
        <v>827</v>
      </c>
      <c r="B609">
        <v>10608</v>
      </c>
      <c r="C609" s="83">
        <v>728.45000000000016</v>
      </c>
      <c r="D609" s="83">
        <v>1.3120031835687689</v>
      </c>
      <c r="E609" s="83">
        <v>64.295287979028487</v>
      </c>
      <c r="F609">
        <v>9</v>
      </c>
      <c r="G609" s="83">
        <v>13.576511861567326</v>
      </c>
      <c r="H609" s="83">
        <v>15.331545463200001</v>
      </c>
      <c r="I609" s="83">
        <v>672.49000000000069</v>
      </c>
      <c r="J609" s="83">
        <v>0.30506733819019377</v>
      </c>
      <c r="K609" s="83">
        <v>18.282695395126151</v>
      </c>
      <c r="L609" s="83">
        <v>66.357927033261817</v>
      </c>
    </row>
    <row r="610" spans="1:12">
      <c r="A610" t="s">
        <v>828</v>
      </c>
      <c r="B610">
        <v>10609</v>
      </c>
      <c r="C610" s="83">
        <v>722.98000000000025</v>
      </c>
      <c r="D610" s="83">
        <v>41.451521130227903</v>
      </c>
      <c r="E610" s="83">
        <v>18.126497590422609</v>
      </c>
      <c r="F610">
        <v>9</v>
      </c>
      <c r="G610" s="83">
        <v>44.584282987368738</v>
      </c>
      <c r="H610" s="83">
        <v>8.7106935953399987</v>
      </c>
      <c r="I610" s="83">
        <v>672.49000000000069</v>
      </c>
      <c r="J610" s="83">
        <v>0</v>
      </c>
      <c r="K610" s="83">
        <v>7.3985826396073344</v>
      </c>
      <c r="L610" s="83">
        <v>19.498636429590789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B21"/>
  <sheetViews>
    <sheetView workbookViewId="0">
      <selection activeCell="B22" sqref="B22"/>
    </sheetView>
  </sheetViews>
  <sheetFormatPr defaultRowHeight="15"/>
  <cols>
    <col min="1" max="1" width="17.28515625" customWidth="1"/>
  </cols>
  <sheetData>
    <row r="1" spans="1:2">
      <c r="A1" t="s">
        <v>131</v>
      </c>
    </row>
    <row r="3" spans="1:2">
      <c r="A3" t="s">
        <v>132</v>
      </c>
    </row>
    <row r="4" spans="1:2">
      <c r="A4" t="s">
        <v>133</v>
      </c>
    </row>
    <row r="5" spans="1:2">
      <c r="A5" t="s">
        <v>134</v>
      </c>
    </row>
    <row r="7" spans="1:2">
      <c r="A7" s="74" t="s">
        <v>137</v>
      </c>
      <c r="B7" t="s">
        <v>135</v>
      </c>
    </row>
    <row r="9" spans="1:2">
      <c r="A9" s="74" t="s">
        <v>138</v>
      </c>
      <c r="B9" t="s">
        <v>139</v>
      </c>
    </row>
    <row r="10" spans="1:2">
      <c r="B10" t="s">
        <v>140</v>
      </c>
    </row>
    <row r="11" spans="1:2">
      <c r="B11" t="s">
        <v>141</v>
      </c>
    </row>
    <row r="12" spans="1:2">
      <c r="B12" t="s">
        <v>142</v>
      </c>
    </row>
    <row r="13" spans="1:2">
      <c r="A13" t="s">
        <v>834</v>
      </c>
      <c r="B13" t="s">
        <v>835</v>
      </c>
    </row>
    <row r="14" spans="1:2">
      <c r="A14" t="s">
        <v>834</v>
      </c>
      <c r="B14" t="s">
        <v>842</v>
      </c>
    </row>
    <row r="15" spans="1:2">
      <c r="A15" t="s">
        <v>834</v>
      </c>
      <c r="B15" t="s">
        <v>836</v>
      </c>
    </row>
    <row r="16" spans="1:2">
      <c r="A16" t="s">
        <v>834</v>
      </c>
      <c r="B16" t="s">
        <v>837</v>
      </c>
    </row>
    <row r="17" spans="1:2">
      <c r="A17" t="s">
        <v>834</v>
      </c>
      <c r="B17" t="s">
        <v>838</v>
      </c>
    </row>
    <row r="18" spans="1:2">
      <c r="A18" t="s">
        <v>834</v>
      </c>
      <c r="B18" t="s">
        <v>843</v>
      </c>
    </row>
    <row r="19" spans="1:2">
      <c r="A19" t="s">
        <v>834</v>
      </c>
      <c r="B19" t="s">
        <v>845</v>
      </c>
    </row>
    <row r="20" spans="1:2">
      <c r="A20" s="74" t="s">
        <v>849</v>
      </c>
      <c r="B20" t="s">
        <v>850</v>
      </c>
    </row>
    <row r="21" spans="1:2">
      <c r="A21" t="s">
        <v>851</v>
      </c>
      <c r="B21" t="s">
        <v>852</v>
      </c>
    </row>
  </sheetData>
  <phoneticPr fontId="6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12d9eeb-3d37-4d6b-94d0-652e73c671ab" xsi:nil="true"/>
    <lcf76f155ced4ddcb4097134ff3c332f xmlns="1a00bbdd-bef9-48d4-ba3b-7e8f5bb6809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BA291D1B473A4FB56863EA969DAA62" ma:contentTypeVersion="15" ma:contentTypeDescription="Opret et nyt dokument." ma:contentTypeScope="" ma:versionID="89daaccdcbfe8826ebbad818c71d44a7">
  <xsd:schema xmlns:xsd="http://www.w3.org/2001/XMLSchema" xmlns:xs="http://www.w3.org/2001/XMLSchema" xmlns:p="http://schemas.microsoft.com/office/2006/metadata/properties" xmlns:ns2="1a00bbdd-bef9-48d4-ba3b-7e8f5bb6809e" xmlns:ns3="412d9eeb-3d37-4d6b-94d0-652e73c671ab" targetNamespace="http://schemas.microsoft.com/office/2006/metadata/properties" ma:root="true" ma:fieldsID="c4f9a0877a9cefda32c4db48d6f90c6e" ns2:_="" ns3:_="">
    <xsd:import namespace="1a00bbdd-bef9-48d4-ba3b-7e8f5bb6809e"/>
    <xsd:import namespace="412d9eeb-3d37-4d6b-94d0-652e73c671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00bbdd-bef9-48d4-ba3b-7e8f5bb680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Billedmærker" ma:readOnly="false" ma:fieldId="{5cf76f15-5ced-4ddc-b409-7134ff3c332f}" ma:taxonomyMulti="true" ma:sspId="be2dd31a-da8e-4d68-92f6-652307614c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2d9eeb-3d37-4d6b-94d0-652e73c671a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d672353-20cc-46ae-9850-99345107e60e}" ma:internalName="TaxCatchAll" ma:showField="CatchAllData" ma:web="412d9eeb-3d37-4d6b-94d0-652e73c671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BBCAD0-EEDD-47F4-892F-B44F54A89E2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2D1CEA-9C3C-4F4E-9B7B-678C03A14B2C}">
  <ds:schemaRefs>
    <ds:schemaRef ds:uri="http://schemas.microsoft.com/office/2006/metadata/properties"/>
    <ds:schemaRef ds:uri="http://schemas.microsoft.com/office/infopath/2007/PartnerControls"/>
    <ds:schemaRef ds:uri="abbeec68-b05e-4e2e-88e5-2ac3e13fe809"/>
    <ds:schemaRef ds:uri="14bfd2bb-3d4a-4549-9197-f3410a8da64b"/>
    <ds:schemaRef ds:uri="ae0300af-fdb0-482b-b311-be869ba265b4"/>
    <ds:schemaRef ds:uri="754d577c-b73f-46b9-b2dd-214091bad452"/>
    <ds:schemaRef ds:uri="3984bd32-2032-46e0-9f89-e0ee59236d80"/>
    <ds:schemaRef ds:uri="http://schemas.microsoft.com/sharepoint/v3"/>
    <ds:schemaRef ds:uri="412d9eeb-3d37-4d6b-94d0-652e73c671ab"/>
    <ds:schemaRef ds:uri="1a00bbdd-bef9-48d4-ba3b-7e8f5bb6809e"/>
  </ds:schemaRefs>
</ds:datastoreItem>
</file>

<file path=customXml/itemProps3.xml><?xml version="1.0" encoding="utf-8"?>
<ds:datastoreItem xmlns:ds="http://schemas.openxmlformats.org/officeDocument/2006/customXml" ds:itemID="{46BCC79A-86C1-4944-9384-D540465EC0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00bbdd-bef9-48d4-ba3b-7e8f5bb6809e"/>
    <ds:schemaRef ds:uri="412d9eeb-3d37-4d6b-94d0-652e73c671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26</vt:i4>
      </vt:variant>
    </vt:vector>
  </HeadingPairs>
  <TitlesOfParts>
    <vt:vector size="31" baseType="lpstr">
      <vt:lpstr>Vandgennemstrømning</vt:lpstr>
      <vt:lpstr>Søer</vt:lpstr>
      <vt:lpstr>Biomassehøst</vt:lpstr>
      <vt:lpstr>DMI</vt:lpstr>
      <vt:lpstr>Rettelser</vt:lpstr>
      <vt:lpstr>areal</vt:lpstr>
      <vt:lpstr>BFI</vt:lpstr>
      <vt:lpstr>Fe</vt:lpstr>
      <vt:lpstr>Fosfordeponi</vt:lpstr>
      <vt:lpstr>georeg_DO</vt:lpstr>
      <vt:lpstr>georeg_VO</vt:lpstr>
      <vt:lpstr>input1</vt:lpstr>
      <vt:lpstr>j9_DO</vt:lpstr>
      <vt:lpstr>j9_VO</vt:lpstr>
      <vt:lpstr>jL_DO</vt:lpstr>
      <vt:lpstr>jL_VO</vt:lpstr>
      <vt:lpstr>jS_VO</vt:lpstr>
      <vt:lpstr>nedbor_DO</vt:lpstr>
      <vt:lpstr>nedbor_VO</vt:lpstr>
      <vt:lpstr>netto_nedbor_DO</vt:lpstr>
      <vt:lpstr>oplands_areal</vt:lpstr>
      <vt:lpstr>P</vt:lpstr>
      <vt:lpstr>P_deponering</vt:lpstr>
      <vt:lpstr>Pdeponi</vt:lpstr>
      <vt:lpstr>Ppulje</vt:lpstr>
      <vt:lpstr>Ptab</vt:lpstr>
      <vt:lpstr>PtabSø</vt:lpstr>
      <vt:lpstr>Q_OF</vt:lpstr>
      <vt:lpstr>Qovf</vt:lpstr>
      <vt:lpstr>samlet_oplands_areal</vt:lpstr>
      <vt:lpstr>SumAreal</vt:lpstr>
    </vt:vector>
  </TitlesOfParts>
  <Company>Aarhus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Ditte Forsmann</dc:creator>
  <cp:lastModifiedBy>Anders Isberg Aahave (18463)</cp:lastModifiedBy>
  <cp:lastPrinted>2017-09-04T12:58:11Z</cp:lastPrinted>
  <dcterms:created xsi:type="dcterms:W3CDTF">2014-02-04T07:29:45Z</dcterms:created>
  <dcterms:modified xsi:type="dcterms:W3CDTF">2026-01-22T13:20:21Z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0x0101009CBA291D1B473A4FB56863EA969DAA62</vt:lpwstr>
  </property>
  <property fmtid="{D5CDD505-2E9C-101B-9397-08002B2CF9AE}" pid="3" name="_dlc_DocIdItemGuid">
    <vt:lpwstr>651476bd-e546-4960-ad7d-e41140d9b4dd</vt:lpwstr>
  </property>
  <property fmtid="{D5CDD505-2E9C-101B-9397-08002B2CF9AE}" pid="4" name="enviDocumentType2">
    <vt:lpwstr/>
  </property>
  <property fmtid="{D5CDD505-2E9C-101B-9397-08002B2CF9AE}" pid="5" name="MediaServiceImageTags">
    <vt:lpwstr/>
  </property>
  <property fmtid="{D5CDD505-2E9C-101B-9397-08002B2CF9AE}" pid="6" name="lcf76f155ced4ddcb4097134ff3c332f">
    <vt:lpwstr/>
  </property>
</Properties>
</file>